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ЭтаКнига"/>
  <bookViews>
    <workbookView windowWidth="21000" windowHeight="12315"/>
  </bookViews>
  <sheets>
    <sheet name="2023" sheetId="23" r:id="rId1"/>
  </sheets>
  <definedNames>
    <definedName name="_xlnm._FilterDatabase" localSheetId="0" hidden="1">'2023'!$A$11:$BC$108</definedName>
    <definedName name="_xlnm.Print_Titles" localSheetId="0">'2023'!$10:$10</definedName>
    <definedName name="_xlnm.Print_Area" localSheetId="0">'2023'!$A$1:$BA$114</definedName>
  </definedNames>
  <calcPr calcId="144525"/>
</workbook>
</file>

<file path=xl/sharedStrings.xml><?xml version="1.0" encoding="utf-8"?>
<sst xmlns="http://schemas.openxmlformats.org/spreadsheetml/2006/main" count="356" uniqueCount="178">
  <si>
    <t>Приложение 3</t>
  </si>
  <si>
    <t>к Решению Совета депутатов муниципального образования "Окинский район"</t>
  </si>
  <si>
    <t>О бюджете муниципального района на 2023 год</t>
  </si>
  <si>
    <t>и на плановый период 2024 и 2025 годов"</t>
  </si>
  <si>
    <t xml:space="preserve">  </t>
  </si>
  <si>
    <t>Прогноз  безвозмездных поступлений</t>
  </si>
  <si>
    <t>на  2023 год</t>
  </si>
  <si>
    <t xml:space="preserve"> </t>
  </si>
  <si>
    <t xml:space="preserve"> Единица измерения: тыс. руб.</t>
  </si>
  <si>
    <t>Код ГАД</t>
  </si>
  <si>
    <t>Код вида доходов</t>
  </si>
  <si>
    <t xml:space="preserve">Наименование </t>
  </si>
  <si>
    <t>Первонач. проект 2019</t>
  </si>
  <si>
    <t>Сумма уточн. 2019</t>
  </si>
  <si>
    <t>Изменение</t>
  </si>
  <si>
    <t>Сумма</t>
  </si>
  <si>
    <t>поправка</t>
  </si>
  <si>
    <t>Сумма на 2020 г</t>
  </si>
  <si>
    <t>в том числе</t>
  </si>
  <si>
    <t>Софин-е</t>
  </si>
  <si>
    <t>Сумма на 2020 г.</t>
  </si>
  <si>
    <t>Сумма 
на 2021 г.</t>
  </si>
  <si>
    <t>Отклонение</t>
  </si>
  <si>
    <t>Поправки</t>
  </si>
  <si>
    <t xml:space="preserve">Сумма </t>
  </si>
  <si>
    <t>2022 год</t>
  </si>
  <si>
    <t>согласно уведомлениям</t>
  </si>
  <si>
    <t>Доп. поправки</t>
  </si>
  <si>
    <t>доппоправка</t>
  </si>
  <si>
    <t xml:space="preserve">доп. поправка </t>
  </si>
  <si>
    <t>Уточ. сумма</t>
  </si>
  <si>
    <t>Отклонения</t>
  </si>
  <si>
    <t xml:space="preserve">Доп. поправки </t>
  </si>
  <si>
    <t>поправки</t>
  </si>
  <si>
    <t>доп.поправки</t>
  </si>
  <si>
    <t>000</t>
  </si>
  <si>
    <t>200 00000 00 0000 000</t>
  </si>
  <si>
    <t xml:space="preserve">Безвозмездные поступления </t>
  </si>
  <si>
    <t>202 00000 00 0000 000</t>
  </si>
  <si>
    <t>Безвозмездные поступления от других бюджетов бюджетной системы Российской Федерации</t>
  </si>
  <si>
    <t>202 10000 00 0000 150</t>
  </si>
  <si>
    <t>Дотации бюджетам бюджетной системы Российской Федерации</t>
  </si>
  <si>
    <t>951</t>
  </si>
  <si>
    <t>202 15001 05 0000 150</t>
  </si>
  <si>
    <t>Дотации на выравнивание бюджетной обеспеченности муниципальных районов (городских округов)</t>
  </si>
  <si>
    <t>202 15002 05 0000 150</t>
  </si>
  <si>
    <t xml:space="preserve">Дотации бюджетам муниципальных районов  на поддержку мер по обеспечению сбалансированности местных бюджетов
</t>
  </si>
  <si>
    <t>202 20000 00 0000 150</t>
  </si>
  <si>
    <t>Субсидии бюджетам бюджетной системы Российской Федерации (межбюджетные субсидии)</t>
  </si>
  <si>
    <t>950</t>
  </si>
  <si>
    <t>202 25518 05 0000 150</t>
  </si>
  <si>
    <t>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</si>
  <si>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202 25576 05 0000 150</t>
  </si>
  <si>
    <t xml:space="preserve">Субсидии на реализацию мероприятия по благоустройству сельских территорий Государственной программы Республики Бурятия "Комплексное развитие сельских территорий Республики Бурятия" </t>
  </si>
  <si>
    <t>952</t>
  </si>
  <si>
    <t>202 25304 05 0000 150</t>
  </si>
  <si>
    <t xml:space="preserve">Субсидии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</si>
  <si>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953</t>
  </si>
  <si>
    <t xml:space="preserve">202 25750 05 0000 150 </t>
  </si>
  <si>
    <t>Субсидии на государственную поддержку отрасли культуры (субсидии на на выплату денежного поощрения лучшим работникам сельских учреждений культуры)</t>
  </si>
  <si>
    <t>202 25519 05 0000 150</t>
  </si>
  <si>
    <t>Субсидии на государственную поддержку отрасли культуры (субсидии на реализацию мероприятий по модернизации библиотек в части комплектования книжных фондов библиотек муниципальных образований в Республике Бурятия)</t>
  </si>
  <si>
    <t>202 25467 05 0000 150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</si>
  <si>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</si>
  <si>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956</t>
  </si>
  <si>
    <t>202 20077 05 0000 151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</si>
  <si>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</si>
  <si>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>202 25555 05 0000 150</t>
  </si>
  <si>
    <t>Субсидии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</si>
  <si>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957</t>
  </si>
  <si>
    <t>202 25497 05 0000 150</t>
  </si>
  <si>
    <t xml:space="preserve">Субсидии на реализацию мероприятий по обеспечению жильем молодых семей </t>
  </si>
  <si>
    <t>202 29999 00 0000 150</t>
  </si>
  <si>
    <t>Прочие субсидии</t>
  </si>
  <si>
    <t>202 29999 05 0000 150</t>
  </si>
  <si>
    <t>Прочие субсидии бюджетам муниципальных районов</t>
  </si>
  <si>
    <t>Cубсидии на обеспечение профессиональной  переподготовки, повышение квалификации лиц, замещающих выборные муниципальные должности, и муниципальных служащих</t>
  </si>
  <si>
    <t>Субсидии  на развитие общественной инфраструктуры</t>
  </si>
  <si>
    <t>Субсидии на благоустройство территорий, прилегающих к местам туристского показа в муниципальных образованиях в Республике Бурятия</t>
  </si>
  <si>
    <t>Субсидии на лучшее событийное тематичесое мероприятие в сельской местности</t>
  </si>
  <si>
    <t>Субсидии  на софинансирование расходных обязательств муниципальных районов на содержание и обеспечение деятельности (оказание услуг) муниципальных учреждений</t>
  </si>
  <si>
    <t>Субсидии  на обеспечение сбалансированности местных бюджетов по социально значимым и первоочередным расходам</t>
  </si>
  <si>
    <t>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</si>
  <si>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Субсидии на 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</si>
  <si>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 xml:space="preserve">Субсидии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</si>
  <si>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>Субсидии  на содержание инструкторов по физической культуре и спорту</t>
  </si>
  <si>
    <t>Субсидии  на увеличение фонда оплаты труда  педагогических работников  муниципальных организаций  дополнительного образования</t>
  </si>
  <si>
    <t>Субсидии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</si>
  <si>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Субсидии  на обеспечение муниципальных дошкольных и общеобразовательных организаций педагогическими работниками</t>
  </si>
  <si>
    <t>Субсидии бюджетам муниципальных районов на увеличение охвата детей дополнительным образованием</t>
  </si>
  <si>
    <t>202 29999 05 0000 151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</si>
  <si>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</si>
  <si>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Субсидии бюджетам муниципальных образований на укрепление материально-технической базы в отрасли «Культура»</t>
  </si>
  <si>
    <t xml:space="preserve">Субсидии  на повышение средней заработной платы  работников муниципальных учреждений культуры </t>
  </si>
  <si>
    <t xml:space="preserve">Субсидии  на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2012 - 2017 годы" </t>
  </si>
  <si>
    <t>Субсидии   на дорожную деятельность в отношении автомобильных дорог общего пользования местного значения</t>
  </si>
  <si>
    <t xml:space="preserve">Субсидии на проектирование и строительство очистных сооружений 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</si>
  <si>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</si>
  <si>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 на выполнение расходных обязательств муниципальных образований на содержание объектов размещения твердых коммунальных отходов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</si>
  <si>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</si>
  <si>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на модернизацию объектов питьевого водоснабжения</t>
  </si>
  <si>
    <t xml:space="preserve">Субсидии на проведение комплексных кадастровых работ 
</t>
  </si>
  <si>
    <t xml:space="preserve">Субсидии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</si>
  <si>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Субсидии на разработку, принятие и софинансирование муниципальных программ по сохранению и развитию бурятского языка</t>
  </si>
  <si>
    <t>Субсидии на реализацию мероприятий регионального проекта "Социальная активность"</t>
  </si>
  <si>
    <t>202 30000 00 0000 150</t>
  </si>
  <si>
    <t>Субвенции бюджетам бюджетной системы Российской Федерации</t>
  </si>
  <si>
    <t>202 30021 05 0000 150</t>
  </si>
  <si>
    <t>Субвенции 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</si>
  <si>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202 30024 05 0000 150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</si>
  <si>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</si>
  <si>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</si>
  <si>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</si>
  <si>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</si>
  <si>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(биотермических ям)</t>
  </si>
  <si>
    <t>Субвенции на 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(биотермических ям)</t>
  </si>
  <si>
    <t>Субвенции  на осуществление государственных полномочий по расчету и предоставлению дотаций поселениям</t>
  </si>
  <si>
    <t>Субвенции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</si>
  <si>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</si>
  <si>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 xml:space="preserve">Субвенции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</si>
  <si>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на финансовое обеспечение получения  дошкольного образования в муниципальных образовательных организациях </t>
  </si>
  <si>
    <t>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</si>
  <si>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</si>
  <si>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</si>
  <si>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</si>
  <si>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 на осуществление государственных полномочий по созданию и организации деятельности административных комиссий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</si>
  <si>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</si>
  <si>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</si>
  <si>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958</t>
  </si>
  <si>
    <t>Субвенции  на осуществление отдельных государственных полномочий по уведомительной регистрации коллективных договоров</t>
  </si>
  <si>
    <t>202 35469 05 0000 150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</si>
  <si>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</si>
  <si>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202 35120 05 0000 150</t>
  </si>
  <si>
    <t>Субвенции на составление (изменение, дополнение)  списков кандидатов в присяжные заседатели судов общей юрисдикции в Российской Федерации</t>
  </si>
  <si>
    <t>202 39999 05 0000 150</t>
  </si>
  <si>
    <t>Прочие субвенции бюджетам муниципальных районов</t>
  </si>
  <si>
    <t>203 39999 05 0000 150</t>
  </si>
  <si>
    <t>Субвенции 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(на отдых и оздоровление)</t>
  </si>
  <si>
    <t>204 39999 05 0000 150</t>
  </si>
  <si>
    <t>Субвенции  на администрирование передаваемых органам местного самоуправления государственных полномочий по организации деятельности отдыха и оздоровления детей (на организацию деятельности)</t>
  </si>
  <si>
    <t>Субвенции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</si>
  <si>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202 40000 00 0000 150</t>
  </si>
  <si>
    <t>Иные межбюджетные трансферты</t>
  </si>
  <si>
    <t>202 45505 05 0000 150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</si>
  <si>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</si>
  <si>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</si>
  <si>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202 49999 05 0000 150</t>
  </si>
  <si>
    <t>Иные межбюджетные трансферты муниципальным образованиям за достижение значений (уровней) показателей для оценки эффектиности деятельности высшего должностного лицаи деятельности исполнительных органов Республики Бурятия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</si>
  <si>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</si>
  <si>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Иные межбюджетные трансферты за достижение показателя "Естественный прирост населения" за 2021 год </t>
  </si>
  <si>
    <t>Иные межбюджетные трансферты на финансовое обеспечение социально значимых и первоочередных расходов местных бюджетов</t>
  </si>
  <si>
    <t>202 45179 05 0000 150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</si>
  <si>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</si>
  <si>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202 45303 05 0000 150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</si>
  <si>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</si>
  <si>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Иные межбюджетные трансферты на ежемесячное денежное вознаграждение воспитателей дошкольных образовательных организаций, реализующийх программу погружения в бурятскую языковую среду</t>
  </si>
  <si>
    <t>Иные 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учереждений (за счет средств республиканского бюджета)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</si>
  <si>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</si>
  <si>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</si>
  <si>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202 40014 05 0000 150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</si>
  <si>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</si>
  <si>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Иные межбюджетные трансферты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</si>
  <si>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Иные межбюджетные трансферты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</si>
  <si>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962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</si>
  <si>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</si>
  <si>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204 0000 00 0000 000</t>
  </si>
  <si>
    <t xml:space="preserve">Безвозмездные поступления от негосударственных организаций </t>
  </si>
  <si>
    <t>204 05099 05 0000 150</t>
  </si>
  <si>
    <t>Прочие безвозмездные поступления от негосударственных организаций в бюджеты муниципальных районов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</si>
  <si>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</si>
  <si>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</si>
  <si>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</si>
  <si>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</si>
  <si>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960</t>
  </si>
  <si>
    <t>219 00000 00 0000 000</t>
  </si>
  <si>
    <t>Возврат остатков субсидий, субвенций и иных межбюджетных трансфертов, имеющих целевое назначение, прошлых лет</t>
  </si>
  <si>
    <t>219 60010 05 0000 150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</si>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</sst>
</file>

<file path=xl/styles.xml><?xml version="1.0" encoding="utf-8"?>
<styleSheet xmlns="http://schemas.openxmlformats.org/spreadsheetml/2006/main" xmlns:xr9="http://schemas.microsoft.com/office/spreadsheetml/2016/revision9">
  <numFmts count="13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_-* #\ ##0.000\ _₽_-;\-* #\ ##0.000\ _₽_-;_-* &quot;-&quot;??\ _₽_-;_-@_-"/>
    <numFmt numFmtId="181" formatCode="_-* #\ ##0.000\ _₽_-;\-* #\ ##0.000\ _₽_-;_-* &quot;-&quot;???\ _₽_-;_-@_-"/>
    <numFmt numFmtId="182" formatCode="0.000"/>
    <numFmt numFmtId="183" formatCode="#\ ##0.000"/>
    <numFmt numFmtId="184" formatCode="#\ ##0.00"/>
    <numFmt numFmtId="185" formatCode="#\ ##0.0000"/>
    <numFmt numFmtId="186" formatCode="0.00000"/>
    <numFmt numFmtId="187" formatCode="_-* #\ ##0.00000\ _₽_-;\-* #\ ##0.00000\ _₽_-;_-* &quot;-&quot;??\ _₽_-;_-@_-"/>
    <numFmt numFmtId="188" formatCode="_-* #\ ##0.00000\ _₽_-;\-* #\ ##0.00000\ _₽_-;_-* &quot;-&quot;?????\ _₽_-;_-@_-"/>
  </numFmts>
  <fonts count="38">
    <font>
      <sz val="10"/>
      <name val="Arial Cyr"/>
      <charset val="204"/>
    </font>
    <font>
      <b/>
      <sz val="10"/>
      <name val="Times New Roman"/>
      <charset val="204"/>
    </font>
    <font>
      <b/>
      <sz val="8"/>
      <name val="Times New Roman"/>
      <charset val="204"/>
    </font>
    <font>
      <b/>
      <i/>
      <sz val="10"/>
      <name val="Times New Roman"/>
      <charset val="204"/>
    </font>
    <font>
      <b/>
      <sz val="10"/>
      <name val="Arial Cyr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i/>
      <sz val="14"/>
      <name val="Times New Roman"/>
      <charset val="204"/>
    </font>
    <font>
      <sz val="14"/>
      <color rgb="FF000000"/>
      <name val="Times New Roman"/>
      <charset val="204"/>
    </font>
    <font>
      <sz val="14"/>
      <color theme="1"/>
      <name val="Times New Roman"/>
      <charset val="204"/>
    </font>
    <font>
      <i/>
      <sz val="14"/>
      <name val="Times New Roman"/>
      <charset val="204"/>
    </font>
    <font>
      <sz val="14"/>
      <color indexed="8"/>
      <name val="Arial"/>
      <charset val="204"/>
    </font>
    <font>
      <b/>
      <sz val="12"/>
      <name val="Times New Roman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28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80" fontId="6" fillId="0" borderId="0" xfId="1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180" fontId="7" fillId="2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/>
    <xf numFmtId="181" fontId="8" fillId="2" borderId="1" xfId="0" applyNumberFormat="1" applyFont="1" applyFill="1" applyBorder="1" applyAlignment="1">
      <alignment horizontal="center" vertical="center"/>
    </xf>
    <xf numFmtId="180" fontId="5" fillId="0" borderId="0" xfId="1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80" fontId="8" fillId="0" borderId="0" xfId="1" applyNumberFormat="1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3" xfId="1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justify"/>
    </xf>
    <xf numFmtId="180" fontId="8" fillId="2" borderId="1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justify" vertical="justify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182" fontId="7" fillId="2" borderId="1" xfId="0" applyNumberFormat="1" applyFont="1" applyFill="1" applyBorder="1" applyAlignment="1">
      <alignment horizontal="center" vertical="center"/>
    </xf>
    <xf numFmtId="18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justify" vertical="center" wrapText="1"/>
    </xf>
    <xf numFmtId="182" fontId="9" fillId="2" borderId="1" xfId="0" applyNumberFormat="1" applyFont="1" applyFill="1" applyBorder="1" applyAlignment="1">
      <alignment horizontal="center" vertical="center"/>
    </xf>
    <xf numFmtId="180" fontId="7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0" fontId="7" fillId="2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justify" vertical="center" wrapText="1"/>
    </xf>
    <xf numFmtId="180" fontId="9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justify" wrapText="1"/>
    </xf>
    <xf numFmtId="0" fontId="10" fillId="2" borderId="0" xfId="0" applyFont="1" applyFill="1"/>
    <xf numFmtId="182" fontId="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justify" wrapText="1"/>
    </xf>
    <xf numFmtId="0" fontId="7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justify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80" fontId="8" fillId="2" borderId="3" xfId="1" applyNumberFormat="1" applyFont="1" applyFill="1" applyBorder="1" applyAlignment="1">
      <alignment horizontal="center" vertical="center"/>
    </xf>
    <xf numFmtId="180" fontId="8" fillId="0" borderId="1" xfId="1" applyNumberFormat="1" applyFont="1" applyBorder="1" applyAlignment="1">
      <alignment horizontal="center" vertical="center"/>
    </xf>
    <xf numFmtId="181" fontId="8" fillId="0" borderId="1" xfId="0" applyNumberFormat="1" applyFont="1" applyBorder="1" applyAlignment="1">
      <alignment horizontal="center" vertical="center"/>
    </xf>
    <xf numFmtId="182" fontId="7" fillId="0" borderId="1" xfId="0" applyNumberFormat="1" applyFont="1" applyBorder="1" applyAlignment="1">
      <alignment horizontal="center" vertical="center"/>
    </xf>
    <xf numFmtId="180" fontId="7" fillId="2" borderId="1" xfId="0" applyNumberFormat="1" applyFont="1" applyFill="1" applyBorder="1" applyAlignment="1">
      <alignment horizontal="center"/>
    </xf>
    <xf numFmtId="181" fontId="7" fillId="0" borderId="1" xfId="0" applyNumberFormat="1" applyFont="1" applyBorder="1" applyAlignment="1">
      <alignment horizontal="center" vertical="center"/>
    </xf>
    <xf numFmtId="180" fontId="7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182" fontId="8" fillId="2" borderId="1" xfId="1" applyNumberFormat="1" applyFont="1" applyFill="1" applyBorder="1" applyAlignment="1">
      <alignment horizontal="center" vertical="center"/>
    </xf>
    <xf numFmtId="180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81" fontId="7" fillId="2" borderId="1" xfId="0" applyNumberFormat="1" applyFont="1" applyFill="1" applyBorder="1" applyAlignment="1">
      <alignment horizontal="center" vertical="center"/>
    </xf>
    <xf numFmtId="180" fontId="8" fillId="2" borderId="1" xfId="1" applyNumberFormat="1" applyFont="1" applyFill="1" applyBorder="1" applyAlignment="1">
      <alignment vertical="center"/>
    </xf>
    <xf numFmtId="180" fontId="7" fillId="2" borderId="1" xfId="1" applyNumberFormat="1" applyFont="1" applyFill="1" applyBorder="1" applyAlignment="1">
      <alignment vertical="center"/>
    </xf>
    <xf numFmtId="182" fontId="9" fillId="2" borderId="1" xfId="1" applyNumberFormat="1" applyFont="1" applyFill="1" applyBorder="1" applyAlignment="1">
      <alignment horizontal="center" vertical="center"/>
    </xf>
    <xf numFmtId="180" fontId="9" fillId="2" borderId="1" xfId="1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81" fontId="8" fillId="2" borderId="0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80" fontId="8" fillId="0" borderId="1" xfId="1" applyNumberFormat="1" applyFont="1" applyFill="1" applyBorder="1" applyAlignment="1">
      <alignment horizontal="center" vertical="center"/>
    </xf>
    <xf numFmtId="180" fontId="8" fillId="2" borderId="1" xfId="0" applyNumberFormat="1" applyFont="1" applyFill="1" applyBorder="1" applyAlignment="1">
      <alignment horizontal="center" vertical="center"/>
    </xf>
    <xf numFmtId="181" fontId="8" fillId="0" borderId="1" xfId="0" applyNumberFormat="1" applyFont="1" applyFill="1" applyBorder="1" applyAlignment="1">
      <alignment horizontal="center" vertical="center"/>
    </xf>
    <xf numFmtId="180" fontId="7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/>
    <xf numFmtId="183" fontId="7" fillId="0" borderId="1" xfId="0" applyNumberFormat="1" applyFont="1" applyBorder="1" applyAlignment="1">
      <alignment horizontal="center" vertical="center"/>
    </xf>
    <xf numFmtId="180" fontId="7" fillId="0" borderId="1" xfId="0" applyNumberFormat="1" applyFont="1" applyBorder="1" applyAlignment="1">
      <alignment vertical="center"/>
    </xf>
    <xf numFmtId="0" fontId="6" fillId="0" borderId="1" xfId="0" applyFont="1" applyFill="1" applyBorder="1"/>
    <xf numFmtId="181" fontId="7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180" fontId="7" fillId="2" borderId="1" xfId="0" applyNumberFormat="1" applyFont="1" applyFill="1" applyBorder="1" applyAlignment="1">
      <alignment vertical="center"/>
    </xf>
    <xf numFmtId="0" fontId="1" fillId="2" borderId="1" xfId="0" applyFont="1" applyFill="1" applyBorder="1"/>
    <xf numFmtId="181" fontId="7" fillId="2" borderId="1" xfId="0" applyNumberFormat="1" applyFont="1" applyFill="1" applyBorder="1" applyAlignment="1">
      <alignment vertical="center"/>
    </xf>
    <xf numFmtId="182" fontId="7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76" fontId="7" fillId="2" borderId="1" xfId="1" applyFont="1" applyFill="1" applyBorder="1" applyAlignment="1">
      <alignment vertical="center"/>
    </xf>
    <xf numFmtId="0" fontId="6" fillId="2" borderId="1" xfId="0" applyFont="1" applyFill="1" applyBorder="1"/>
    <xf numFmtId="181" fontId="1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7" fillId="0" borderId="3" xfId="0" applyFont="1" applyBorder="1" applyAlignment="1">
      <alignment horizontal="center" vertical="center" wrapText="1"/>
    </xf>
    <xf numFmtId="180" fontId="8" fillId="0" borderId="4" xfId="1" applyNumberFormat="1" applyFont="1" applyFill="1" applyBorder="1" applyAlignment="1">
      <alignment horizontal="center" vertical="center"/>
    </xf>
    <xf numFmtId="180" fontId="8" fillId="2" borderId="4" xfId="0" applyNumberFormat="1" applyFont="1" applyFill="1" applyBorder="1" applyAlignment="1">
      <alignment horizontal="center" vertical="center"/>
    </xf>
    <xf numFmtId="180" fontId="8" fillId="2" borderId="4" xfId="0" applyNumberFormat="1" applyFont="1" applyFill="1" applyBorder="1" applyAlignment="1">
      <alignment vertical="center"/>
    </xf>
    <xf numFmtId="183" fontId="8" fillId="0" borderId="4" xfId="0" applyNumberFormat="1" applyFont="1" applyFill="1" applyBorder="1" applyAlignment="1">
      <alignment horizontal="center" vertical="center"/>
    </xf>
    <xf numFmtId="183" fontId="8" fillId="2" borderId="4" xfId="0" applyNumberFormat="1" applyFont="1" applyFill="1" applyBorder="1" applyAlignment="1">
      <alignment horizontal="center" vertical="center"/>
    </xf>
    <xf numFmtId="180" fontId="7" fillId="0" borderId="4" xfId="0" applyNumberFormat="1" applyFont="1" applyBorder="1" applyAlignment="1">
      <alignment vertical="center"/>
    </xf>
    <xf numFmtId="183" fontId="7" fillId="0" borderId="1" xfId="0" applyNumberFormat="1" applyFont="1" applyFill="1" applyBorder="1"/>
    <xf numFmtId="183" fontId="7" fillId="0" borderId="4" xfId="0" applyNumberFormat="1" applyFont="1" applyBorder="1" applyAlignment="1">
      <alignment horizontal="center" vertical="center"/>
    </xf>
    <xf numFmtId="180" fontId="7" fillId="0" borderId="0" xfId="0" applyNumberFormat="1" applyFont="1" applyAlignment="1">
      <alignment vertical="center"/>
    </xf>
    <xf numFmtId="183" fontId="6" fillId="0" borderId="1" xfId="0" applyNumberFormat="1" applyFont="1" applyFill="1" applyBorder="1"/>
    <xf numFmtId="183" fontId="6" fillId="0" borderId="4" xfId="0" applyNumberFormat="1" applyFont="1" applyBorder="1"/>
    <xf numFmtId="183" fontId="8" fillId="0" borderId="4" xfId="0" applyNumberFormat="1" applyFont="1" applyBorder="1" applyAlignment="1">
      <alignment horizontal="center" vertical="center"/>
    </xf>
    <xf numFmtId="180" fontId="7" fillId="2" borderId="4" xfId="0" applyNumberFormat="1" applyFont="1" applyFill="1" applyBorder="1" applyAlignment="1">
      <alignment vertical="center"/>
    </xf>
    <xf numFmtId="183" fontId="8" fillId="2" borderId="1" xfId="0" applyNumberFormat="1" applyFont="1" applyFill="1" applyBorder="1" applyAlignment="1">
      <alignment horizontal="center" vertical="center"/>
    </xf>
    <xf numFmtId="183" fontId="7" fillId="2" borderId="4" xfId="0" applyNumberFormat="1" applyFont="1" applyFill="1" applyBorder="1" applyAlignment="1">
      <alignment horizontal="center" vertical="center"/>
    </xf>
    <xf numFmtId="183" fontId="7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83" fontId="9" fillId="2" borderId="1" xfId="0" applyNumberFormat="1" applyFont="1" applyFill="1" applyBorder="1" applyAlignment="1">
      <alignment horizontal="center" vertical="center"/>
    </xf>
    <xf numFmtId="183" fontId="9" fillId="2" borderId="4" xfId="0" applyNumberFormat="1" applyFont="1" applyFill="1" applyBorder="1" applyAlignment="1">
      <alignment horizontal="center" vertical="center"/>
    </xf>
    <xf numFmtId="183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184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184" fontId="7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wrapText="1"/>
    </xf>
    <xf numFmtId="180" fontId="8" fillId="0" borderId="6" xfId="1" applyNumberFormat="1" applyFont="1" applyFill="1" applyBorder="1" applyAlignment="1">
      <alignment horizontal="center" vertical="center"/>
    </xf>
    <xf numFmtId="182" fontId="7" fillId="2" borderId="1" xfId="0" applyNumberFormat="1" applyFont="1" applyFill="1" applyBorder="1" applyAlignment="1">
      <alignment horizontal="center" vertical="center" wrapText="1"/>
    </xf>
    <xf numFmtId="182" fontId="7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8" fillId="0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2" borderId="0" xfId="0" applyFont="1" applyFill="1"/>
    <xf numFmtId="180" fontId="8" fillId="2" borderId="1" xfId="0" applyNumberFormat="1" applyFont="1" applyFill="1" applyBorder="1" applyAlignment="1">
      <alignment vertical="center"/>
    </xf>
    <xf numFmtId="180" fontId="9" fillId="2" borderId="1" xfId="0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wrapText="1"/>
    </xf>
    <xf numFmtId="0" fontId="11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justify" vertical="top" wrapText="1"/>
    </xf>
    <xf numFmtId="0" fontId="7" fillId="2" borderId="1" xfId="0" applyNumberFormat="1" applyFont="1" applyFill="1" applyBorder="1" applyAlignment="1">
      <alignment horizontal="justify" vertical="top" wrapText="1"/>
    </xf>
    <xf numFmtId="0" fontId="8" fillId="2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82" fontId="14" fillId="0" borderId="1" xfId="0" applyNumberFormat="1" applyFont="1" applyBorder="1" applyAlignment="1">
      <alignment horizontal="right"/>
    </xf>
    <xf numFmtId="182" fontId="14" fillId="0" borderId="1" xfId="0" applyNumberFormat="1" applyFont="1" applyFill="1" applyBorder="1" applyAlignment="1">
      <alignment horizontal="right"/>
    </xf>
    <xf numFmtId="182" fontId="14" fillId="0" borderId="1" xfId="0" applyNumberFormat="1" applyFont="1" applyFill="1" applyBorder="1"/>
    <xf numFmtId="49" fontId="7" fillId="0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182" fontId="5" fillId="0" borderId="6" xfId="0" applyNumberFormat="1" applyFont="1" applyBorder="1" applyAlignment="1">
      <alignment horizontal="right"/>
    </xf>
    <xf numFmtId="182" fontId="5" fillId="0" borderId="6" xfId="0" applyNumberFormat="1" applyFont="1" applyFill="1" applyBorder="1" applyAlignment="1">
      <alignment horizontal="right"/>
    </xf>
    <xf numFmtId="182" fontId="5" fillId="0" borderId="6" xfId="0" applyNumberFormat="1" applyFont="1" applyFill="1" applyBorder="1"/>
    <xf numFmtId="49" fontId="8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82" fontId="5" fillId="0" borderId="1" xfId="0" applyNumberFormat="1" applyFont="1" applyBorder="1" applyAlignment="1">
      <alignment horizontal="right"/>
    </xf>
    <xf numFmtId="182" fontId="5" fillId="0" borderId="1" xfId="0" applyNumberFormat="1" applyFont="1" applyFill="1" applyBorder="1" applyAlignment="1">
      <alignment horizontal="right"/>
    </xf>
    <xf numFmtId="182" fontId="5" fillId="0" borderId="1" xfId="0" applyNumberFormat="1" applyFont="1" applyFill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80" fontId="6" fillId="0" borderId="1" xfId="1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180" fontId="7" fillId="0" borderId="0" xfId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80" fontId="8" fillId="0" borderId="0" xfId="1" applyNumberFormat="1" applyFont="1" applyAlignment="1">
      <alignment horizontal="center" vertical="center"/>
    </xf>
    <xf numFmtId="180" fontId="8" fillId="0" borderId="1" xfId="1" applyNumberFormat="1" applyFont="1" applyBorder="1" applyAlignment="1">
      <alignment vertical="center"/>
    </xf>
    <xf numFmtId="182" fontId="8" fillId="0" borderId="1" xfId="0" applyNumberFormat="1" applyFont="1" applyBorder="1" applyAlignment="1">
      <alignment horizontal="center" vertical="center"/>
    </xf>
    <xf numFmtId="182" fontId="15" fillId="0" borderId="1" xfId="0" applyNumberFormat="1" applyFont="1" applyBorder="1" applyAlignment="1">
      <alignment horizontal="center" vertical="center"/>
    </xf>
    <xf numFmtId="180" fontId="15" fillId="0" borderId="1" xfId="1" applyNumberFormat="1" applyFont="1" applyBorder="1" applyAlignment="1">
      <alignment vertical="center"/>
    </xf>
    <xf numFmtId="182" fontId="7" fillId="0" borderId="6" xfId="0" applyNumberFormat="1" applyFont="1" applyBorder="1" applyAlignment="1">
      <alignment horizontal="center" vertical="center"/>
    </xf>
    <xf numFmtId="182" fontId="15" fillId="0" borderId="6" xfId="0" applyNumberFormat="1" applyFont="1" applyBorder="1" applyAlignment="1">
      <alignment horizontal="center" vertical="center"/>
    </xf>
    <xf numFmtId="182" fontId="7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80" fontId="7" fillId="0" borderId="6" xfId="1" applyNumberFormat="1" applyFont="1" applyBorder="1" applyAlignment="1">
      <alignment horizontal="center" vertical="center"/>
    </xf>
    <xf numFmtId="180" fontId="16" fillId="0" borderId="6" xfId="1" applyNumberFormat="1" applyFont="1" applyBorder="1" applyAlignment="1">
      <alignment vertical="center"/>
    </xf>
    <xf numFmtId="180" fontId="16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180" fontId="8" fillId="2" borderId="0" xfId="1" applyNumberFormat="1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182" fontId="7" fillId="2" borderId="1" xfId="0" applyNumberFormat="1" applyFont="1" applyFill="1" applyBorder="1" applyAlignment="1">
      <alignment horizontal="right" vertical="center"/>
    </xf>
    <xf numFmtId="181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182" fontId="8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vertical="center"/>
    </xf>
    <xf numFmtId="181" fontId="8" fillId="0" borderId="1" xfId="0" applyNumberFormat="1" applyFont="1" applyBorder="1" applyAlignment="1">
      <alignment vertical="center"/>
    </xf>
    <xf numFmtId="180" fontId="8" fillId="0" borderId="1" xfId="0" applyNumberFormat="1" applyFont="1" applyBorder="1" applyAlignment="1">
      <alignment vertical="center"/>
    </xf>
    <xf numFmtId="181" fontId="7" fillId="2" borderId="6" xfId="0" applyNumberFormat="1" applyFont="1" applyFill="1" applyBorder="1" applyAlignment="1">
      <alignment horizontal="center" vertical="center"/>
    </xf>
    <xf numFmtId="181" fontId="7" fillId="0" borderId="6" xfId="0" applyNumberFormat="1" applyFont="1" applyFill="1" applyBorder="1" applyAlignment="1">
      <alignment horizontal="center" vertical="center"/>
    </xf>
    <xf numFmtId="182" fontId="7" fillId="0" borderId="6" xfId="0" applyNumberFormat="1" applyFont="1" applyBorder="1" applyAlignment="1">
      <alignment horizontal="center"/>
    </xf>
    <xf numFmtId="0" fontId="16" fillId="0" borderId="6" xfId="0" applyFont="1" applyBorder="1" applyAlignment="1">
      <alignment vertical="center"/>
    </xf>
    <xf numFmtId="181" fontId="7" fillId="0" borderId="6" xfId="0" applyNumberFormat="1" applyFont="1" applyBorder="1" applyAlignment="1">
      <alignment vertical="center"/>
    </xf>
    <xf numFmtId="180" fontId="7" fillId="0" borderId="6" xfId="0" applyNumberFormat="1" applyFont="1" applyBorder="1" applyAlignment="1">
      <alignment vertical="center"/>
    </xf>
    <xf numFmtId="182" fontId="7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81" fontId="8" fillId="2" borderId="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0" borderId="0" xfId="0" applyFont="1" applyFill="1"/>
    <xf numFmtId="0" fontId="8" fillId="2" borderId="0" xfId="0" applyFont="1" applyFill="1" applyAlignment="1">
      <alignment vertical="center"/>
    </xf>
    <xf numFmtId="0" fontId="8" fillId="0" borderId="0" xfId="0" applyFont="1" applyFill="1"/>
    <xf numFmtId="180" fontId="9" fillId="2" borderId="4" xfId="0" applyNumberFormat="1" applyFont="1" applyFill="1" applyBorder="1" applyAlignment="1">
      <alignment vertical="center"/>
    </xf>
    <xf numFmtId="180" fontId="7" fillId="2" borderId="4" xfId="0" applyNumberFormat="1" applyFont="1" applyFill="1" applyBorder="1" applyAlignment="1">
      <alignment horizontal="center" vertical="center"/>
    </xf>
    <xf numFmtId="180" fontId="15" fillId="0" borderId="1" xfId="0" applyNumberFormat="1" applyFont="1" applyBorder="1" applyAlignment="1">
      <alignment vertical="center"/>
    </xf>
    <xf numFmtId="0" fontId="4" fillId="0" borderId="1" xfId="0" applyFont="1" applyBorder="1"/>
    <xf numFmtId="183" fontId="8" fillId="0" borderId="1" xfId="0" applyNumberFormat="1" applyFont="1" applyBorder="1" applyAlignment="1">
      <alignment horizontal="center" vertical="center"/>
    </xf>
    <xf numFmtId="180" fontId="16" fillId="0" borderId="6" xfId="0" applyNumberFormat="1" applyFont="1" applyBorder="1" applyAlignment="1">
      <alignment vertical="center"/>
    </xf>
    <xf numFmtId="0" fontId="0" fillId="0" borderId="6" xfId="0" applyFont="1" applyBorder="1"/>
    <xf numFmtId="183" fontId="7" fillId="0" borderId="6" xfId="0" applyNumberFormat="1" applyFont="1" applyBorder="1" applyAlignment="1">
      <alignment horizontal="center" vertical="center"/>
    </xf>
    <xf numFmtId="183" fontId="7" fillId="2" borderId="6" xfId="0" applyNumberFormat="1" applyFont="1" applyFill="1" applyBorder="1" applyAlignment="1">
      <alignment horizontal="center" vertical="center"/>
    </xf>
    <xf numFmtId="183" fontId="7" fillId="2" borderId="8" xfId="0" applyNumberFormat="1" applyFont="1" applyFill="1" applyBorder="1" applyAlignment="1">
      <alignment horizontal="center" vertical="center"/>
    </xf>
    <xf numFmtId="0" fontId="0" fillId="2" borderId="6" xfId="0" applyFont="1" applyFill="1" applyBorder="1"/>
    <xf numFmtId="183" fontId="7" fillId="0" borderId="8" xfId="0" applyNumberFormat="1" applyFont="1" applyBorder="1" applyAlignment="1">
      <alignment horizontal="center" vertical="center"/>
    </xf>
    <xf numFmtId="0" fontId="4" fillId="2" borderId="4" xfId="0" applyFont="1" applyFill="1" applyBorder="1"/>
    <xf numFmtId="182" fontId="8" fillId="0" borderId="4" xfId="0" applyNumberFormat="1" applyFont="1" applyBorder="1" applyAlignment="1">
      <alignment horizontal="center" vertical="center"/>
    </xf>
    <xf numFmtId="180" fontId="16" fillId="0" borderId="1" xfId="0" applyNumberFormat="1" applyFont="1" applyBorder="1" applyAlignment="1">
      <alignment vertical="center"/>
    </xf>
    <xf numFmtId="0" fontId="0" fillId="0" borderId="1" xfId="0" applyFont="1" applyBorder="1"/>
    <xf numFmtId="0" fontId="0" fillId="2" borderId="4" xfId="0" applyFont="1" applyFill="1" applyBorder="1"/>
    <xf numFmtId="182" fontId="7" fillId="0" borderId="4" xfId="0" applyNumberFormat="1" applyFont="1" applyBorder="1" applyAlignment="1">
      <alignment horizontal="center" vertical="center"/>
    </xf>
    <xf numFmtId="182" fontId="8" fillId="2" borderId="4" xfId="0" applyNumberFormat="1" applyFont="1" applyFill="1" applyBorder="1" applyAlignment="1">
      <alignment horizontal="center" vertical="center"/>
    </xf>
    <xf numFmtId="185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7" fillId="2" borderId="1" xfId="0" applyNumberFormat="1" applyFont="1" applyFill="1" applyBorder="1" applyAlignment="1">
      <alignment vertical="center" wrapText="1"/>
    </xf>
    <xf numFmtId="0" fontId="16" fillId="0" borderId="6" xfId="0" applyFont="1" applyBorder="1"/>
    <xf numFmtId="0" fontId="15" fillId="0" borderId="1" xfId="0" applyFont="1" applyBorder="1"/>
    <xf numFmtId="0" fontId="16" fillId="0" borderId="1" xfId="0" applyFont="1" applyBorder="1"/>
    <xf numFmtId="0" fontId="7" fillId="0" borderId="1" xfId="0" applyFont="1" applyBorder="1"/>
    <xf numFmtId="182" fontId="12" fillId="2" borderId="1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182" fontId="16" fillId="2" borderId="6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180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80" fontId="8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180" fontId="7" fillId="0" borderId="6" xfId="0" applyNumberFormat="1" applyFont="1" applyBorder="1" applyAlignment="1">
      <alignment horizontal="center" vertical="center"/>
    </xf>
    <xf numFmtId="180" fontId="7" fillId="2" borderId="6" xfId="0" applyNumberFormat="1" applyFont="1" applyFill="1" applyBorder="1" applyAlignment="1">
      <alignment horizontal="center" vertical="center"/>
    </xf>
    <xf numFmtId="180" fontId="7" fillId="2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180" fontId="8" fillId="2" borderId="1" xfId="0" applyNumberFormat="1" applyFont="1" applyFill="1" applyBorder="1" applyAlignment="1">
      <alignment horizontal="right" vertical="center"/>
    </xf>
    <xf numFmtId="180" fontId="8" fillId="0" borderId="1" xfId="0" applyNumberFormat="1" applyFont="1" applyBorder="1" applyAlignment="1">
      <alignment horizontal="center"/>
    </xf>
    <xf numFmtId="180" fontId="8" fillId="2" borderId="1" xfId="0" applyNumberFormat="1" applyFont="1" applyFill="1" applyBorder="1" applyAlignment="1">
      <alignment horizontal="center"/>
    </xf>
    <xf numFmtId="180" fontId="7" fillId="0" borderId="1" xfId="0" applyNumberFormat="1" applyFont="1" applyBorder="1" applyAlignment="1">
      <alignment horizontal="center"/>
    </xf>
    <xf numFmtId="180" fontId="6" fillId="2" borderId="1" xfId="0" applyNumberFormat="1" applyFont="1" applyFill="1" applyBorder="1"/>
    <xf numFmtId="180" fontId="17" fillId="0" borderId="1" xfId="0" applyNumberFormat="1" applyFont="1" applyBorder="1" applyAlignment="1">
      <alignment horizontal="center"/>
    </xf>
    <xf numFmtId="186" fontId="7" fillId="0" borderId="0" xfId="0" applyNumberFormat="1" applyFont="1" applyAlignment="1">
      <alignment horizontal="center"/>
    </xf>
    <xf numFmtId="187" fontId="8" fillId="0" borderId="0" xfId="0" applyNumberFormat="1" applyFont="1"/>
    <xf numFmtId="188" fontId="6" fillId="0" borderId="0" xfId="0" applyNumberFormat="1" applyFont="1"/>
    <xf numFmtId="187" fontId="6" fillId="0" borderId="0" xfId="0" applyNumberFormat="1" applyFo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AFFC0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120"/>
  <sheetViews>
    <sheetView tabSelected="1" view="pageBreakPreview" zoomScaleNormal="70" topLeftCell="A102" workbookViewId="0">
      <selection activeCell="A1" sqref="A1:BA108"/>
    </sheetView>
  </sheetViews>
  <sheetFormatPr defaultColWidth="9" defaultRowHeight="18.75"/>
  <cols>
    <col min="1" max="1" width="12.4222222222222" style="9" customWidth="1"/>
    <col min="2" max="2" width="30.8555555555556" style="10" customWidth="1"/>
    <col min="3" max="3" width="104.288888888889" style="11" customWidth="1"/>
    <col min="4" max="4" width="26.2888888888889" style="12" hidden="1" customWidth="1"/>
    <col min="5" max="7" width="17.8555555555556" style="13" hidden="1" customWidth="1"/>
    <col min="8" max="8" width="18.1444444444444" style="13" hidden="1" customWidth="1"/>
    <col min="9" max="9" width="17.2888888888889" style="14" hidden="1" customWidth="1"/>
    <col min="10" max="10" width="22.5666666666667" style="15" hidden="1" customWidth="1"/>
    <col min="11" max="11" width="0.144444444444444" style="15" hidden="1" customWidth="1"/>
    <col min="12" max="12" width="19.8555555555556" style="15" hidden="1" customWidth="1"/>
    <col min="13" max="13" width="14.2888888888889" style="15" hidden="1" customWidth="1"/>
    <col min="14" max="14" width="20.2888888888889" style="16" hidden="1" customWidth="1"/>
    <col min="15" max="15" width="24.1444444444444" style="17" hidden="1" customWidth="1"/>
    <col min="16" max="16" width="18.5666666666667" style="18" hidden="1" customWidth="1"/>
    <col min="17" max="17" width="20.5666666666667" style="19" hidden="1" customWidth="1"/>
    <col min="18" max="18" width="22.8555555555556" style="20" hidden="1" customWidth="1"/>
    <col min="19" max="19" width="22.8555555555556" style="14" hidden="1" customWidth="1"/>
    <col min="20" max="20" width="18.4222222222222" style="14" hidden="1" customWidth="1"/>
    <col min="21" max="21" width="0.288888888888889" style="21" hidden="1" customWidth="1"/>
    <col min="22" max="22" width="19.4222222222222" style="14" hidden="1" customWidth="1"/>
    <col min="23" max="23" width="20" style="14" hidden="1" customWidth="1"/>
    <col min="24" max="24" width="20.1444444444444" style="14" hidden="1" customWidth="1"/>
    <col min="25" max="25" width="20.5666666666667" style="14" hidden="1" customWidth="1"/>
    <col min="26" max="26" width="23.4222222222222" style="14" hidden="1" customWidth="1"/>
    <col min="27" max="27" width="19.7111111111111" style="14" hidden="1" customWidth="1"/>
    <col min="28" max="28" width="18.2888888888889" style="14" hidden="1" customWidth="1"/>
    <col min="29" max="29" width="19.7111111111111" style="14" hidden="1" customWidth="1"/>
    <col min="30" max="30" width="19" style="14" hidden="1" customWidth="1"/>
    <col min="31" max="31" width="19.7111111111111" style="14" hidden="1" customWidth="1"/>
    <col min="32" max="32" width="17" style="14" hidden="1" customWidth="1"/>
    <col min="33" max="33" width="19.7111111111111" style="14" hidden="1" customWidth="1"/>
    <col min="34" max="34" width="18.1444444444444" style="14" hidden="1" customWidth="1"/>
    <col min="35" max="35" width="19.7111111111111" style="14" hidden="1" customWidth="1"/>
    <col min="36" max="36" width="18.2888888888889" style="14" hidden="1" customWidth="1"/>
    <col min="37" max="37" width="19.7111111111111" style="14" hidden="1" customWidth="1"/>
    <col min="38" max="38" width="18.1444444444444" style="14" hidden="1" customWidth="1"/>
    <col min="39" max="39" width="19.8555555555556" style="14" hidden="1" customWidth="1"/>
    <col min="40" max="40" width="19.7111111111111" style="14" hidden="1" customWidth="1"/>
    <col min="41" max="41" width="19.5666666666667" style="14" hidden="1" customWidth="1"/>
    <col min="42" max="42" width="15.1444444444444" style="14" hidden="1" customWidth="1"/>
    <col min="43" max="43" width="0.144444444444444" style="14" hidden="1" customWidth="1"/>
    <col min="44" max="44" width="19.7111111111111" style="14" hidden="1" customWidth="1"/>
    <col min="45" max="45" width="0.144444444444444" style="14" hidden="1" customWidth="1"/>
    <col min="46" max="46" width="17.4222222222222" style="14" hidden="1" customWidth="1"/>
    <col min="47" max="47" width="26.7111111111111" style="14" hidden="1" customWidth="1"/>
    <col min="48" max="48" width="27.8555555555556" style="14" hidden="1" customWidth="1"/>
    <col min="49" max="49" width="0.144444444444444" style="14" customWidth="1"/>
    <col min="50" max="50" width="19.4222222222222" style="14" hidden="1" customWidth="1"/>
    <col min="51" max="51" width="20" style="14" hidden="1" customWidth="1"/>
    <col min="52" max="52" width="18.1444444444444" style="14" hidden="1" customWidth="1"/>
    <col min="53" max="53" width="27.7111111111111" style="14" customWidth="1"/>
    <col min="54" max="54" width="18" style="14" customWidth="1"/>
    <col min="55" max="55" width="15.5666666666667" style="14" customWidth="1"/>
    <col min="56" max="16384" width="9.14444444444444" style="14"/>
  </cols>
  <sheetData>
    <row r="1" ht="15.75" customHeight="1" spans="1: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ht="15.75" customHeight="1" spans="1: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ht="15.75" customHeight="1" spans="1:25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</row>
    <row r="4" ht="15.75" customHeight="1" spans="1:25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</row>
    <row r="5" ht="15.75" customHeight="1" spans="1:21">
      <c r="A5" s="23" t="s">
        <v>4</v>
      </c>
      <c r="B5" s="23"/>
      <c r="C5" s="23"/>
      <c r="D5" s="23"/>
      <c r="U5" s="96"/>
    </row>
    <row r="6" spans="1:25">
      <c r="A6" s="24" t="s">
        <v>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spans="1:25">
      <c r="A7" s="24" t="s">
        <v>6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spans="1:21">
      <c r="A8" s="25"/>
      <c r="B8" s="26"/>
      <c r="C8" s="24" t="s">
        <v>7</v>
      </c>
      <c r="D8" s="25"/>
      <c r="E8" s="27"/>
      <c r="F8" s="27"/>
      <c r="G8" s="27"/>
      <c r="H8" s="27"/>
      <c r="U8" s="96"/>
    </row>
    <row r="9" customHeight="1" spans="1:5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BA9" s="14" t="s">
        <v>8</v>
      </c>
    </row>
    <row r="10" s="1" customFormat="1" ht="39" customHeight="1" spans="1:53">
      <c r="A10" s="29" t="s">
        <v>9</v>
      </c>
      <c r="B10" s="30" t="s">
        <v>10</v>
      </c>
      <c r="C10" s="31" t="s">
        <v>11</v>
      </c>
      <c r="D10" s="32" t="s">
        <v>12</v>
      </c>
      <c r="E10" s="33" t="s">
        <v>13</v>
      </c>
      <c r="F10" s="33">
        <v>2020</v>
      </c>
      <c r="G10" s="33" t="s">
        <v>14</v>
      </c>
      <c r="H10" s="33" t="s">
        <v>15</v>
      </c>
      <c r="I10" s="73" t="s">
        <v>16</v>
      </c>
      <c r="J10" s="74" t="s">
        <v>17</v>
      </c>
      <c r="K10" s="75" t="s">
        <v>18</v>
      </c>
      <c r="L10" s="76"/>
      <c r="M10" s="77" t="s">
        <v>19</v>
      </c>
      <c r="N10" s="78" t="s">
        <v>16</v>
      </c>
      <c r="O10" s="74" t="s">
        <v>20</v>
      </c>
      <c r="P10" s="73" t="s">
        <v>16</v>
      </c>
      <c r="Q10" s="97" t="s">
        <v>20</v>
      </c>
      <c r="R10" s="98" t="s">
        <v>21</v>
      </c>
      <c r="S10" s="97" t="s">
        <v>22</v>
      </c>
      <c r="T10" s="97" t="s">
        <v>23</v>
      </c>
      <c r="U10" s="97" t="s">
        <v>24</v>
      </c>
      <c r="V10" s="97" t="s">
        <v>16</v>
      </c>
      <c r="W10" s="97" t="s">
        <v>25</v>
      </c>
      <c r="X10" s="73" t="s">
        <v>16</v>
      </c>
      <c r="Y10" s="118" t="s">
        <v>15</v>
      </c>
      <c r="Z10" s="118" t="s">
        <v>26</v>
      </c>
      <c r="AA10" s="31" t="s">
        <v>15</v>
      </c>
      <c r="AB10" s="31" t="s">
        <v>23</v>
      </c>
      <c r="AC10" s="31" t="s">
        <v>15</v>
      </c>
      <c r="AD10" s="31" t="s">
        <v>27</v>
      </c>
      <c r="AE10" s="31" t="s">
        <v>15</v>
      </c>
      <c r="AF10" s="73" t="s">
        <v>16</v>
      </c>
      <c r="AG10" s="73" t="s">
        <v>15</v>
      </c>
      <c r="AH10" s="73" t="s">
        <v>28</v>
      </c>
      <c r="AI10" s="73" t="s">
        <v>15</v>
      </c>
      <c r="AJ10" s="73" t="s">
        <v>16</v>
      </c>
      <c r="AK10" s="73" t="s">
        <v>15</v>
      </c>
      <c r="AL10" s="73" t="s">
        <v>28</v>
      </c>
      <c r="AM10" s="73" t="s">
        <v>15</v>
      </c>
      <c r="AN10" s="73" t="s">
        <v>16</v>
      </c>
      <c r="AO10" s="73" t="s">
        <v>15</v>
      </c>
      <c r="AP10" s="145" t="s">
        <v>29</v>
      </c>
      <c r="AQ10" s="73" t="s">
        <v>30</v>
      </c>
      <c r="AR10" s="74" t="s">
        <v>15</v>
      </c>
      <c r="AS10" s="73" t="s">
        <v>31</v>
      </c>
      <c r="AT10" s="73" t="s">
        <v>16</v>
      </c>
      <c r="AU10" s="73" t="s">
        <v>15</v>
      </c>
      <c r="AV10" s="74" t="s">
        <v>32</v>
      </c>
      <c r="AW10" s="74" t="s">
        <v>15</v>
      </c>
      <c r="AX10" s="150" t="s">
        <v>33</v>
      </c>
      <c r="AY10" s="151" t="s">
        <v>15</v>
      </c>
      <c r="AZ10" s="152" t="s">
        <v>34</v>
      </c>
      <c r="BA10" s="151" t="s">
        <v>15</v>
      </c>
    </row>
    <row r="11" s="1" customFormat="1" spans="1:53">
      <c r="A11" s="34" t="s">
        <v>35</v>
      </c>
      <c r="B11" s="35" t="s">
        <v>36</v>
      </c>
      <c r="C11" s="36" t="s">
        <v>37</v>
      </c>
      <c r="D11" s="37" t="e">
        <f>SUM(D12,#REF!)</f>
        <v>#REF!</v>
      </c>
      <c r="E11" s="37" t="e">
        <f>SUM(E12,#REF!)</f>
        <v>#REF!</v>
      </c>
      <c r="F11" s="37" t="e">
        <f>SUM(F12,#REF!)</f>
        <v>#REF!</v>
      </c>
      <c r="G11" s="37" t="e">
        <f>SUM(G12,#REF!)</f>
        <v>#REF!</v>
      </c>
      <c r="H11" s="37" t="e">
        <f>SUM(H12,#REF!)</f>
        <v>#REF!</v>
      </c>
      <c r="I11" s="37" t="e">
        <f>SUM(I12,#REF!)</f>
        <v>#REF!</v>
      </c>
      <c r="J11" s="37" t="e">
        <f>SUM(J12)</f>
        <v>#REF!</v>
      </c>
      <c r="K11" s="37" t="e">
        <f>SUM(K12)</f>
        <v>#REF!</v>
      </c>
      <c r="L11" s="37" t="e">
        <f>SUM(L12)</f>
        <v>#REF!</v>
      </c>
      <c r="M11" s="37" t="e">
        <f>SUM(M12)</f>
        <v>#REF!</v>
      </c>
      <c r="N11" s="37" t="e">
        <f>N12+#REF!+#REF!</f>
        <v>#REF!</v>
      </c>
      <c r="O11" s="79" t="e">
        <f>SUM(O12,#REF!,#REF!,#REF!)</f>
        <v>#REF!</v>
      </c>
      <c r="P11" s="79" t="e">
        <f>SUM(P12,#REF!,#REF!,#REF!)</f>
        <v>#REF!</v>
      </c>
      <c r="Q11" s="79" t="e">
        <f>SUM(Q12,#REF!,#REF!,#REF!)</f>
        <v>#REF!</v>
      </c>
      <c r="R11" s="99" t="e">
        <f>SUM(R12,#REF!,#REF!,#REF!)</f>
        <v>#REF!</v>
      </c>
      <c r="S11" s="99" t="e">
        <f>SUM(S12,#REF!,#REF!,#REF!)</f>
        <v>#REF!</v>
      </c>
      <c r="T11" s="99" t="e">
        <f>SUM(T12,#REF!,#REF!,#REF!)</f>
        <v>#REF!</v>
      </c>
      <c r="U11" s="99" t="e">
        <f>SUM(U12,#REF!,#REF!)</f>
        <v>#REF!</v>
      </c>
      <c r="V11" s="99" t="e">
        <f>SUM(V12,#REF!,#REF!)</f>
        <v>#REF!</v>
      </c>
      <c r="W11" s="99" t="e">
        <f>SUM(W12,#REF!,#REF!)</f>
        <v>#REF!</v>
      </c>
      <c r="X11" s="99" t="e">
        <f>SUM(X12,#REF!,#REF!)</f>
        <v>#REF!</v>
      </c>
      <c r="Y11" s="119" t="e">
        <f>SUM(Y12,#REF!,#REF!)</f>
        <v>#REF!</v>
      </c>
      <c r="Z11" s="119" t="e">
        <f>SUM(Z12,#REF!,#REF!)</f>
        <v>#REF!</v>
      </c>
      <c r="AA11" s="119">
        <f t="shared" ref="AA11:AV11" si="0">SUM(AA12,AA100,AA106)</f>
        <v>244150.433</v>
      </c>
      <c r="AB11" s="119">
        <f t="shared" si="0"/>
        <v>18763.16189</v>
      </c>
      <c r="AC11" s="119">
        <f t="shared" si="0"/>
        <v>262913.59489</v>
      </c>
      <c r="AD11" s="119">
        <f t="shared" si="0"/>
        <v>-9.572</v>
      </c>
      <c r="AE11" s="119">
        <f t="shared" si="0"/>
        <v>266519.92289</v>
      </c>
      <c r="AF11" s="119">
        <f t="shared" si="0"/>
        <v>8906.93</v>
      </c>
      <c r="AG11" s="119">
        <f t="shared" si="0"/>
        <v>275426.85289</v>
      </c>
      <c r="AH11" s="99">
        <f t="shared" si="0"/>
        <v>2049.77065</v>
      </c>
      <c r="AI11" s="99">
        <f t="shared" si="0"/>
        <v>277476.62354</v>
      </c>
      <c r="AJ11" s="99">
        <f t="shared" si="0"/>
        <v>18364.38145</v>
      </c>
      <c r="AK11" s="99">
        <f t="shared" si="0"/>
        <v>295841.00499</v>
      </c>
      <c r="AL11" s="99">
        <f t="shared" si="0"/>
        <v>1377.27492</v>
      </c>
      <c r="AM11" s="99">
        <f t="shared" si="0"/>
        <v>297218.27991</v>
      </c>
      <c r="AN11" s="99">
        <f t="shared" si="0"/>
        <v>3974.91432</v>
      </c>
      <c r="AO11" s="99">
        <f t="shared" si="0"/>
        <v>301193.19423</v>
      </c>
      <c r="AP11" s="99">
        <f t="shared" si="0"/>
        <v>-15.852</v>
      </c>
      <c r="AQ11" s="146">
        <f t="shared" si="0"/>
        <v>301177.34223</v>
      </c>
      <c r="AR11" s="146">
        <f t="shared" si="0"/>
        <v>253638.313</v>
      </c>
      <c r="AS11" s="146">
        <f t="shared" si="0"/>
        <v>-47539.02923</v>
      </c>
      <c r="AT11" s="146">
        <f t="shared" si="0"/>
        <v>50814.36132</v>
      </c>
      <c r="AU11" s="146">
        <f t="shared" si="0"/>
        <v>304452.67432</v>
      </c>
      <c r="AV11" s="146">
        <f t="shared" si="0"/>
        <v>0</v>
      </c>
      <c r="AW11" s="146">
        <f>SUM(AW12,AW100,AW102,AW106)</f>
        <v>338968.13298</v>
      </c>
      <c r="AX11" s="146">
        <f>SUM(AX12,AX100,AX102,AX106)</f>
        <v>29451.374</v>
      </c>
      <c r="AY11" s="146">
        <f>SUM(AY12,AY100,AY102,AY106)</f>
        <v>368419.50698</v>
      </c>
      <c r="AZ11" s="146">
        <f>SUM(AZ12,AZ100,AZ102,AZ106)</f>
        <v>158.7</v>
      </c>
      <c r="BA11" s="146">
        <f>SUM(BA12,BA100,BA102,BA106)</f>
        <v>368639.32498</v>
      </c>
    </row>
    <row r="12" s="2" customFormat="1" ht="37.5" spans="1:53">
      <c r="A12" s="34" t="s">
        <v>35</v>
      </c>
      <c r="B12" s="38" t="s">
        <v>38</v>
      </c>
      <c r="C12" s="39" t="s">
        <v>39</v>
      </c>
      <c r="D12" s="37" t="e">
        <f>D13+D16+D56+D83+#REF!+#REF!</f>
        <v>#REF!</v>
      </c>
      <c r="E12" s="37" t="e">
        <f>E13+E16+E56+E83+#REF!+#REF!</f>
        <v>#REF!</v>
      </c>
      <c r="F12" s="37" t="e">
        <f>F13+F16+F56+F83+#REF!+#REF!</f>
        <v>#REF!</v>
      </c>
      <c r="G12" s="37" t="e">
        <f>G13+G16+G56+G83+#REF!+#REF!</f>
        <v>#REF!</v>
      </c>
      <c r="H12" s="37" t="e">
        <f>H13+H16+H56+H83+#REF!+#REF!</f>
        <v>#REF!</v>
      </c>
      <c r="I12" s="37" t="e">
        <f>I13+I16+I56+I83+#REF!+#REF!</f>
        <v>#REF!</v>
      </c>
      <c r="J12" s="37" t="e">
        <f>J13+J16+J56+J83</f>
        <v>#REF!</v>
      </c>
      <c r="K12" s="37" t="e">
        <f>K13+K16+K56+K83</f>
        <v>#REF!</v>
      </c>
      <c r="L12" s="37" t="e">
        <f>L13+L16+L56+L83</f>
        <v>#REF!</v>
      </c>
      <c r="M12" s="37" t="e">
        <f>M13+M16+M56+M83</f>
        <v>#REF!</v>
      </c>
      <c r="N12" s="37" t="e">
        <f>N13+N16+N56+N83</f>
        <v>#REF!</v>
      </c>
      <c r="O12" s="79">
        <f t="shared" ref="O12:BA12" si="1">SUM(O13,O16,O56,O83)</f>
        <v>324534.254</v>
      </c>
      <c r="P12" s="79">
        <f t="shared" si="1"/>
        <v>3681.821</v>
      </c>
      <c r="Q12" s="79" t="e">
        <f t="shared" si="1"/>
        <v>#REF!</v>
      </c>
      <c r="R12" s="99">
        <f t="shared" si="1"/>
        <v>264319.076</v>
      </c>
      <c r="S12" s="37">
        <f t="shared" si="1"/>
        <v>-63896.999</v>
      </c>
      <c r="T12" s="37">
        <f t="shared" si="1"/>
        <v>4581.07</v>
      </c>
      <c r="U12" s="21">
        <f t="shared" si="1"/>
        <v>264765.253</v>
      </c>
      <c r="V12" s="21">
        <f t="shared" si="1"/>
        <v>6720.802</v>
      </c>
      <c r="W12" s="21">
        <f t="shared" si="1"/>
        <v>213503.136</v>
      </c>
      <c r="X12" s="100">
        <f t="shared" si="1"/>
        <v>29629.9</v>
      </c>
      <c r="Y12" s="120">
        <f t="shared" si="1"/>
        <v>243147.636</v>
      </c>
      <c r="Z12" s="120">
        <f t="shared" si="1"/>
        <v>1002.797</v>
      </c>
      <c r="AA12" s="121">
        <f t="shared" si="1"/>
        <v>244150.433</v>
      </c>
      <c r="AB12" s="121">
        <f t="shared" si="1"/>
        <v>22677.02189</v>
      </c>
      <c r="AC12" s="121">
        <f t="shared" si="1"/>
        <v>266827.45489</v>
      </c>
      <c r="AD12" s="121">
        <f t="shared" si="1"/>
        <v>-9.572</v>
      </c>
      <c r="AE12" s="120">
        <f t="shared" si="1"/>
        <v>270433.78289</v>
      </c>
      <c r="AF12" s="120">
        <f t="shared" si="1"/>
        <v>8876.93</v>
      </c>
      <c r="AG12" s="120">
        <f t="shared" si="1"/>
        <v>279310.71289</v>
      </c>
      <c r="AH12" s="100">
        <f t="shared" si="1"/>
        <v>2049.77065</v>
      </c>
      <c r="AI12" s="100">
        <f t="shared" si="1"/>
        <v>281360.48354</v>
      </c>
      <c r="AJ12" s="100">
        <f t="shared" si="1"/>
        <v>17964.38145</v>
      </c>
      <c r="AK12" s="100">
        <f t="shared" si="1"/>
        <v>299324.86499</v>
      </c>
      <c r="AL12" s="100">
        <f t="shared" si="1"/>
        <v>1327.27492</v>
      </c>
      <c r="AM12" s="100">
        <f t="shared" si="1"/>
        <v>300652.13991</v>
      </c>
      <c r="AN12" s="100">
        <f t="shared" si="1"/>
        <v>3974.91432</v>
      </c>
      <c r="AO12" s="100">
        <f t="shared" si="1"/>
        <v>304627.05423</v>
      </c>
      <c r="AP12" s="100">
        <f t="shared" si="1"/>
        <v>-15.852</v>
      </c>
      <c r="AQ12" s="100">
        <f t="shared" si="1"/>
        <v>304611.20223</v>
      </c>
      <c r="AR12" s="100">
        <f t="shared" si="1"/>
        <v>253638.313</v>
      </c>
      <c r="AS12" s="100">
        <f t="shared" si="1"/>
        <v>-50972.88923</v>
      </c>
      <c r="AT12" s="100">
        <f t="shared" si="1"/>
        <v>50814.36132</v>
      </c>
      <c r="AU12" s="100">
        <f t="shared" si="1"/>
        <v>304452.67432</v>
      </c>
      <c r="AV12" s="100">
        <f t="shared" si="1"/>
        <v>0</v>
      </c>
      <c r="AW12" s="100">
        <f t="shared" si="1"/>
        <v>337718.35967</v>
      </c>
      <c r="AX12" s="100">
        <f t="shared" si="1"/>
        <v>29051.374</v>
      </c>
      <c r="AY12" s="100">
        <f t="shared" si="1"/>
        <v>366769.73367</v>
      </c>
      <c r="AZ12" s="100">
        <f t="shared" si="1"/>
        <v>158.7</v>
      </c>
      <c r="BA12" s="100">
        <f t="shared" si="1"/>
        <v>366989.55167</v>
      </c>
    </row>
    <row r="13" s="3" customFormat="1" spans="1:53">
      <c r="A13" s="34" t="s">
        <v>35</v>
      </c>
      <c r="B13" s="35" t="s">
        <v>40</v>
      </c>
      <c r="C13" s="36" t="s">
        <v>41</v>
      </c>
      <c r="D13" s="37" t="e">
        <f>D14+D15+#REF!</f>
        <v>#REF!</v>
      </c>
      <c r="E13" s="37">
        <f>E14+E15</f>
        <v>14758</v>
      </c>
      <c r="F13" s="37">
        <f>F14+F15</f>
        <v>4385.6</v>
      </c>
      <c r="G13" s="37">
        <f>G14+G15</f>
        <v>184.6</v>
      </c>
      <c r="H13" s="37">
        <f>H14+H15</f>
        <v>926.4</v>
      </c>
      <c r="I13" s="37">
        <f t="shared" ref="I13:N13" si="2">I14+I15</f>
        <v>3883</v>
      </c>
      <c r="J13" s="37">
        <f t="shared" si="2"/>
        <v>4809.4</v>
      </c>
      <c r="K13" s="37">
        <f t="shared" si="2"/>
        <v>0</v>
      </c>
      <c r="L13" s="37">
        <f t="shared" si="2"/>
        <v>4809.4</v>
      </c>
      <c r="M13" s="37">
        <f t="shared" si="2"/>
        <v>0</v>
      </c>
      <c r="N13" s="37">
        <f t="shared" si="2"/>
        <v>0</v>
      </c>
      <c r="O13" s="80">
        <f>SUM(O14:O15)</f>
        <v>8809.4</v>
      </c>
      <c r="P13" s="80">
        <f>SUM(P14:P15)</f>
        <v>0</v>
      </c>
      <c r="Q13" s="21">
        <f>P13+O13</f>
        <v>8809.4</v>
      </c>
      <c r="R13" s="101">
        <f>SUM(R14:R15)</f>
        <v>14816.5</v>
      </c>
      <c r="S13" s="21">
        <f>SUM(S14:S15)</f>
        <v>6007.1</v>
      </c>
      <c r="T13" s="21">
        <f>SUM(T14:T15)</f>
        <v>0</v>
      </c>
      <c r="U13" s="21">
        <f>SUM(U14)</f>
        <v>14816.5</v>
      </c>
      <c r="V13" s="21">
        <f>SUM(V14)</f>
        <v>0</v>
      </c>
      <c r="W13" s="21">
        <f>SUM(W14)</f>
        <v>2018.8</v>
      </c>
      <c r="X13" s="100">
        <f t="shared" ref="X13:AH13" si="3">SUM(X14)</f>
        <v>4555.1</v>
      </c>
      <c r="Y13" s="120">
        <f t="shared" si="3"/>
        <v>6573.9</v>
      </c>
      <c r="Z13" s="120">
        <f t="shared" si="3"/>
        <v>0</v>
      </c>
      <c r="AA13" s="120">
        <f t="shared" si="3"/>
        <v>6573.9</v>
      </c>
      <c r="AB13" s="122">
        <f t="shared" si="3"/>
        <v>0</v>
      </c>
      <c r="AC13" s="123">
        <f t="shared" si="3"/>
        <v>6573.9</v>
      </c>
      <c r="AD13" s="123">
        <f t="shared" si="3"/>
        <v>0</v>
      </c>
      <c r="AE13" s="123">
        <f t="shared" si="3"/>
        <v>6573.9</v>
      </c>
      <c r="AF13" s="123">
        <f t="shared" si="3"/>
        <v>0</v>
      </c>
      <c r="AG13" s="123">
        <f t="shared" si="3"/>
        <v>6573.9</v>
      </c>
      <c r="AH13" s="132">
        <f t="shared" si="3"/>
        <v>0</v>
      </c>
      <c r="AI13" s="132">
        <f>SUM(AI14,AI15)</f>
        <v>6573.9</v>
      </c>
      <c r="AJ13" s="132">
        <f t="shared" ref="AJ13:AW13" si="4">SUM(AJ14,AJ15)</f>
        <v>7500</v>
      </c>
      <c r="AK13" s="132">
        <f t="shared" si="4"/>
        <v>14073.9</v>
      </c>
      <c r="AL13" s="132">
        <f t="shared" si="4"/>
        <v>0</v>
      </c>
      <c r="AM13" s="132">
        <f t="shared" si="4"/>
        <v>14073.9</v>
      </c>
      <c r="AN13" s="132">
        <f t="shared" si="4"/>
        <v>99</v>
      </c>
      <c r="AO13" s="132">
        <f t="shared" si="4"/>
        <v>14172.9</v>
      </c>
      <c r="AP13" s="132">
        <f t="shared" si="4"/>
        <v>0</v>
      </c>
      <c r="AQ13" s="132">
        <f t="shared" si="4"/>
        <v>14172.9</v>
      </c>
      <c r="AR13" s="132">
        <f t="shared" si="4"/>
        <v>56708.7</v>
      </c>
      <c r="AS13" s="132">
        <f t="shared" si="4"/>
        <v>42535.8</v>
      </c>
      <c r="AT13" s="132">
        <f t="shared" si="4"/>
        <v>0</v>
      </c>
      <c r="AU13" s="132">
        <f t="shared" si="4"/>
        <v>56708.7</v>
      </c>
      <c r="AV13" s="132">
        <f t="shared" si="4"/>
        <v>0</v>
      </c>
      <c r="AW13" s="100">
        <f t="shared" si="4"/>
        <v>56708.7</v>
      </c>
      <c r="AX13" s="100">
        <f t="shared" ref="AX13:BA13" si="5">SUM(AX14,AX15)</f>
        <v>3110</v>
      </c>
      <c r="AY13" s="100">
        <f t="shared" si="5"/>
        <v>59818.7</v>
      </c>
      <c r="AZ13" s="100">
        <f t="shared" si="5"/>
        <v>0</v>
      </c>
      <c r="BA13" s="100">
        <f t="shared" si="5"/>
        <v>59818.7</v>
      </c>
    </row>
    <row r="14" ht="42.75" customHeight="1" spans="1:53">
      <c r="A14" s="34" t="s">
        <v>42</v>
      </c>
      <c r="B14" s="40" t="s">
        <v>43</v>
      </c>
      <c r="C14" s="41" t="s">
        <v>44</v>
      </c>
      <c r="D14" s="42">
        <v>10558</v>
      </c>
      <c r="E14" s="43">
        <v>10558</v>
      </c>
      <c r="F14" s="43">
        <v>741.8</v>
      </c>
      <c r="G14" s="43">
        <v>184.6</v>
      </c>
      <c r="H14" s="43">
        <f>F14+G14</f>
        <v>926.4</v>
      </c>
      <c r="I14" s="81">
        <v>3883</v>
      </c>
      <c r="J14" s="82">
        <f>SUM(H14,I14)</f>
        <v>4809.4</v>
      </c>
      <c r="K14" s="53"/>
      <c r="L14" s="81">
        <v>4809.4</v>
      </c>
      <c r="M14" s="53"/>
      <c r="N14" s="51"/>
      <c r="O14" s="83">
        <v>4809.4</v>
      </c>
      <c r="P14" s="84"/>
      <c r="Q14" s="89">
        <f t="shared" ref="Q14:Q82" si="6">P14+O14</f>
        <v>4809.4</v>
      </c>
      <c r="R14" s="102">
        <v>14816.5</v>
      </c>
      <c r="S14" s="79">
        <f>R14-Q14</f>
        <v>10007.1</v>
      </c>
      <c r="T14" s="103"/>
      <c r="U14" s="89">
        <f t="shared" ref="U14:U82" si="7">R14+T14</f>
        <v>14816.5</v>
      </c>
      <c r="V14" s="40"/>
      <c r="W14" s="104">
        <v>2018.8</v>
      </c>
      <c r="X14" s="105">
        <f>SUM(Y14-W14)</f>
        <v>4555.1</v>
      </c>
      <c r="Y14" s="124">
        <v>6573.9</v>
      </c>
      <c r="Z14" s="53"/>
      <c r="AA14" s="124">
        <f t="shared" ref="AA14:AA22" si="8">SUM(Y14,Z14)</f>
        <v>6573.9</v>
      </c>
      <c r="AB14" s="125"/>
      <c r="AC14" s="126">
        <f>SUM(AA14:AB14)</f>
        <v>6573.9</v>
      </c>
      <c r="AD14" s="103"/>
      <c r="AE14" s="126">
        <f t="shared" ref="AE14:AE63" si="9">SUM(AC14,AD14)</f>
        <v>6573.9</v>
      </c>
      <c r="AF14" s="53"/>
      <c r="AG14" s="134">
        <f>SUM(AE14,AF14)</f>
        <v>6573.9</v>
      </c>
      <c r="AH14" s="103"/>
      <c r="AI14" s="104">
        <f t="shared" ref="AI14:AI66" si="10">SUM(AG14,AH14)</f>
        <v>6573.9</v>
      </c>
      <c r="AJ14" s="139"/>
      <c r="AK14" s="134">
        <f>SUM(AI14,AJ14)</f>
        <v>6573.9</v>
      </c>
      <c r="AL14" s="40"/>
      <c r="AM14" s="104">
        <f>SUM(AK14,AL14)</f>
        <v>6573.9</v>
      </c>
      <c r="AN14" s="81"/>
      <c r="AO14" s="104">
        <f>SUM(AM14,AN14)</f>
        <v>6573.9</v>
      </c>
      <c r="AP14" s="103"/>
      <c r="AQ14" s="104">
        <f>SUM(AO14,AP14)</f>
        <v>6573.9</v>
      </c>
      <c r="AR14" s="147">
        <v>56708.7</v>
      </c>
      <c r="AS14" s="81">
        <f>SUM(AR14-AQ14)</f>
        <v>50134.8</v>
      </c>
      <c r="AT14" s="53"/>
      <c r="AU14" s="81">
        <f>SUM(AR14,AT14)</f>
        <v>56708.7</v>
      </c>
      <c r="AV14" s="81"/>
      <c r="AW14" s="87">
        <f>AU14</f>
        <v>56708.7</v>
      </c>
      <c r="AX14" s="87"/>
      <c r="AY14" s="109">
        <f>SUM(AW14,AX14)</f>
        <v>56708.7</v>
      </c>
      <c r="AZ14" s="40"/>
      <c r="BA14" s="105">
        <f>SUM(AY14,AZ14)</f>
        <v>56708.7</v>
      </c>
    </row>
    <row r="15" ht="37.5" customHeight="1" spans="1:53">
      <c r="A15" s="34" t="s">
        <v>42</v>
      </c>
      <c r="B15" s="40" t="s">
        <v>45</v>
      </c>
      <c r="C15" s="44" t="s">
        <v>46</v>
      </c>
      <c r="D15" s="42"/>
      <c r="E15" s="43">
        <v>4200</v>
      </c>
      <c r="F15" s="43">
        <v>3643.8</v>
      </c>
      <c r="G15" s="43"/>
      <c r="H15" s="43">
        <v>0</v>
      </c>
      <c r="I15" s="81"/>
      <c r="J15" s="85"/>
      <c r="K15" s="53"/>
      <c r="L15" s="53"/>
      <c r="M15" s="53"/>
      <c r="N15" s="51"/>
      <c r="O15" s="83">
        <v>4000</v>
      </c>
      <c r="P15" s="84">
        <v>0</v>
      </c>
      <c r="Q15" s="89">
        <f t="shared" si="6"/>
        <v>4000</v>
      </c>
      <c r="R15" s="106"/>
      <c r="S15" s="79">
        <f t="shared" ref="S15:S82" si="11">R15-Q15</f>
        <v>-4000</v>
      </c>
      <c r="T15" s="103"/>
      <c r="U15" s="21">
        <f t="shared" si="7"/>
        <v>0</v>
      </c>
      <c r="V15" s="40"/>
      <c r="W15" s="107">
        <f t="shared" ref="W15:W42" si="12">SUM(U15:V15)</f>
        <v>0</v>
      </c>
      <c r="X15" s="105">
        <f t="shared" ref="X15:X78" si="13">SUM(Y15-W15)</f>
        <v>0</v>
      </c>
      <c r="Y15" s="127"/>
      <c r="Z15" s="53"/>
      <c r="AA15" s="124">
        <f t="shared" si="8"/>
        <v>0</v>
      </c>
      <c r="AB15" s="128"/>
      <c r="AC15" s="129"/>
      <c r="AD15" s="103"/>
      <c r="AE15" s="130">
        <f t="shared" si="9"/>
        <v>0</v>
      </c>
      <c r="AF15" s="53"/>
      <c r="AG15" s="104">
        <f t="shared" ref="AG15:AG76" si="14">SUM(AE15,AF15)</f>
        <v>0</v>
      </c>
      <c r="AH15" s="103"/>
      <c r="AI15" s="104">
        <f t="shared" si="10"/>
        <v>0</v>
      </c>
      <c r="AJ15" s="42">
        <v>7500</v>
      </c>
      <c r="AK15" s="134">
        <f t="shared" ref="AK15:AK78" si="15">SUM(AI15,AJ15)</f>
        <v>7500</v>
      </c>
      <c r="AL15" s="40"/>
      <c r="AM15" s="104">
        <f t="shared" ref="AM15:AM78" si="16">SUM(AK15,AL15)</f>
        <v>7500</v>
      </c>
      <c r="AN15" s="81">
        <v>99</v>
      </c>
      <c r="AO15" s="104">
        <f t="shared" ref="AO15:AO78" si="17">SUM(AM15,AN15)</f>
        <v>7599</v>
      </c>
      <c r="AP15" s="103"/>
      <c r="AQ15" s="104">
        <f>SUM(AO15,AP15)</f>
        <v>7599</v>
      </c>
      <c r="AR15" s="42"/>
      <c r="AS15" s="81">
        <f t="shared" ref="AS15:AS78" si="18">SUM(AR15-AQ15)</f>
        <v>-7599</v>
      </c>
      <c r="AT15" s="53"/>
      <c r="AU15" s="81">
        <f t="shared" ref="AU15:AU82" si="19">SUM(AR15,AT15)</f>
        <v>0</v>
      </c>
      <c r="AV15" s="81"/>
      <c r="AW15" s="87">
        <f t="shared" ref="AW15" si="20">SUM(AT15,AV15)</f>
        <v>0</v>
      </c>
      <c r="AX15" s="87">
        <v>3110</v>
      </c>
      <c r="AY15" s="109">
        <f t="shared" ref="AY15:AY25" si="21">SUM(AW15,AX15)</f>
        <v>3110</v>
      </c>
      <c r="AZ15" s="40"/>
      <c r="BA15" s="105">
        <f t="shared" ref="BA15:BA77" si="22">SUM(AY15,AZ15)</f>
        <v>3110</v>
      </c>
    </row>
    <row r="16" s="3" customFormat="1" ht="37.5" spans="1:53">
      <c r="A16" s="45" t="s">
        <v>35</v>
      </c>
      <c r="B16" s="35" t="s">
        <v>47</v>
      </c>
      <c r="C16" s="46" t="s">
        <v>48</v>
      </c>
      <c r="D16" s="37" t="e">
        <f>#REF!+#REF!+#REF!+#REF!+D25+#REF!+#REF!+D26</f>
        <v>#REF!</v>
      </c>
      <c r="E16" s="37" t="e">
        <f>SUM(#REF!,#REF!,#REF!,#REF!,#REF!,E25,#REF!,#REF!,E26)</f>
        <v>#REF!</v>
      </c>
      <c r="F16" s="37" t="e">
        <f>SUM(#REF!,#REF!,#REF!,#REF!,#REF!,F25,#REF!,#REF!,F26)</f>
        <v>#REF!</v>
      </c>
      <c r="G16" s="37" t="e">
        <f>SUM(#REF!,#REF!,#REF!,#REF!,#REF!,G25,#REF!,#REF!,G26)</f>
        <v>#REF!</v>
      </c>
      <c r="H16" s="37" t="e">
        <f>SUM(#REF!,#REF!,#REF!,#REF!,#REF!,H25,#REF!,#REF!,H26)</f>
        <v>#REF!</v>
      </c>
      <c r="I16" s="86" t="e">
        <f>SUM(#REF!,#REF!,#REF!,#REF!,#REF!,I25,#REF!,#REF!,I26)</f>
        <v>#REF!</v>
      </c>
      <c r="J16" s="37" t="e">
        <f>SUM(J17+#REF!+J24+J25+J26)</f>
        <v>#REF!</v>
      </c>
      <c r="K16" s="37" t="e">
        <f>SUM(#REF!,#REF!,K25,#REF!,K26)</f>
        <v>#REF!</v>
      </c>
      <c r="L16" s="37" t="e">
        <f>L17+#REF!+L24+L25+L26</f>
        <v>#REF!</v>
      </c>
      <c r="M16" s="37" t="e">
        <f>M17+#REF!+M24+M25+M26</f>
        <v>#REF!</v>
      </c>
      <c r="N16" s="37" t="e">
        <f>N17+#REF!+N24+N25+N26</f>
        <v>#REF!</v>
      </c>
      <c r="O16" s="80">
        <f>SUM(O17:O26)</f>
        <v>223908.078</v>
      </c>
      <c r="P16" s="80">
        <f>SUM(P17:P26)</f>
        <v>3678.121</v>
      </c>
      <c r="Q16" s="21">
        <f t="shared" si="6"/>
        <v>227586.199</v>
      </c>
      <c r="R16" s="101">
        <f t="shared" ref="R16:AU16" si="23">SUM(R17:R26)</f>
        <v>159916.5</v>
      </c>
      <c r="S16" s="21">
        <f t="shared" si="23"/>
        <v>-67669.699</v>
      </c>
      <c r="T16" s="21">
        <f t="shared" si="23"/>
        <v>4125.471</v>
      </c>
      <c r="U16" s="21">
        <f t="shared" si="23"/>
        <v>165040.528</v>
      </c>
      <c r="V16" s="21">
        <f t="shared" si="23"/>
        <v>4897.2</v>
      </c>
      <c r="W16" s="21">
        <f t="shared" si="23"/>
        <v>123434.379</v>
      </c>
      <c r="X16" s="100">
        <f t="shared" si="23"/>
        <v>12825.2</v>
      </c>
      <c r="Y16" s="120">
        <f t="shared" si="23"/>
        <v>136259.579</v>
      </c>
      <c r="Z16" s="120">
        <f t="shared" si="23"/>
        <v>-0.077</v>
      </c>
      <c r="AA16" s="120">
        <f t="shared" si="23"/>
        <v>136259.502</v>
      </c>
      <c r="AB16" s="122">
        <f t="shared" si="23"/>
        <v>21896.27589</v>
      </c>
      <c r="AC16" s="123">
        <f t="shared" si="23"/>
        <v>158155.77789</v>
      </c>
      <c r="AD16" s="123">
        <f t="shared" si="23"/>
        <v>0.066</v>
      </c>
      <c r="AE16" s="123">
        <f t="shared" si="23"/>
        <v>161771.74389</v>
      </c>
      <c r="AF16" s="123">
        <f t="shared" si="23"/>
        <v>-3536.916</v>
      </c>
      <c r="AG16" s="123">
        <f t="shared" si="23"/>
        <v>158234.82789</v>
      </c>
      <c r="AH16" s="132">
        <f t="shared" si="23"/>
        <v>0</v>
      </c>
      <c r="AI16" s="132">
        <f t="shared" si="23"/>
        <v>158234.82789</v>
      </c>
      <c r="AJ16" s="132">
        <f t="shared" si="23"/>
        <v>7728.02225</v>
      </c>
      <c r="AK16" s="132">
        <f t="shared" si="23"/>
        <v>165962.85014</v>
      </c>
      <c r="AL16" s="132">
        <f t="shared" si="23"/>
        <v>1327.27492</v>
      </c>
      <c r="AM16" s="132">
        <f t="shared" si="23"/>
        <v>167290.12506</v>
      </c>
      <c r="AN16" s="132">
        <f t="shared" si="23"/>
        <v>703.823</v>
      </c>
      <c r="AO16" s="132">
        <f t="shared" si="23"/>
        <v>167993.94806</v>
      </c>
      <c r="AP16" s="132">
        <f t="shared" si="23"/>
        <v>-15.852</v>
      </c>
      <c r="AQ16" s="132">
        <f t="shared" si="23"/>
        <v>167978.09606</v>
      </c>
      <c r="AR16" s="132">
        <f t="shared" si="23"/>
        <v>86279.479</v>
      </c>
      <c r="AS16" s="132">
        <f t="shared" si="23"/>
        <v>-81698.61706</v>
      </c>
      <c r="AT16" s="132">
        <f t="shared" si="23"/>
        <v>54176.77332</v>
      </c>
      <c r="AU16" s="132">
        <f t="shared" si="23"/>
        <v>140456.25232</v>
      </c>
      <c r="AV16" s="81"/>
      <c r="AW16" s="100">
        <f>SUM(AW17:AW26)</f>
        <v>165399.10751</v>
      </c>
      <c r="AX16" s="100">
        <f t="shared" ref="AX16:AY16" si="24">SUM(AX17:AX26)</f>
        <v>1249.574</v>
      </c>
      <c r="AY16" s="100">
        <f t="shared" si="24"/>
        <v>166648.68151</v>
      </c>
      <c r="AZ16" s="100">
        <f t="shared" ref="AZ16:BA16" si="25">SUM(AZ17:AZ26)</f>
        <v>158.7</v>
      </c>
      <c r="BA16" s="100">
        <f t="shared" si="25"/>
        <v>166868.49951</v>
      </c>
    </row>
    <row r="17" s="3" customFormat="1" ht="161.25" customHeight="1" spans="1:53">
      <c r="A17" s="47" t="s">
        <v>49</v>
      </c>
      <c r="B17" s="48" t="s">
        <v>50</v>
      </c>
      <c r="C17" s="49" t="s">
        <v>51</v>
      </c>
      <c r="D17" s="50"/>
      <c r="E17" s="51">
        <v>5051.11</v>
      </c>
      <c r="F17" s="51">
        <v>3714.2</v>
      </c>
      <c r="G17" s="51">
        <v>87.4</v>
      </c>
      <c r="H17" s="51">
        <f>F17+G17</f>
        <v>3801.6</v>
      </c>
      <c r="I17" s="42">
        <v>1370.5</v>
      </c>
      <c r="J17" s="87">
        <f>SUM(H17,I17)</f>
        <v>5172.1</v>
      </c>
      <c r="K17" s="42">
        <v>4861.8</v>
      </c>
      <c r="L17" s="87">
        <v>310.3</v>
      </c>
      <c r="M17" s="88"/>
      <c r="N17" s="51">
        <v>135.291</v>
      </c>
      <c r="O17" s="89">
        <v>5307.391</v>
      </c>
      <c r="P17" s="90"/>
      <c r="Q17" s="89">
        <f t="shared" si="6"/>
        <v>5307.391</v>
      </c>
      <c r="R17" s="89">
        <v>5171.9</v>
      </c>
      <c r="S17" s="37">
        <f>R17-Q17</f>
        <v>-135.491</v>
      </c>
      <c r="T17" s="89">
        <v>0.188</v>
      </c>
      <c r="U17" s="89">
        <f t="shared" si="7"/>
        <v>5172.088</v>
      </c>
      <c r="V17" s="108"/>
      <c r="W17" s="42">
        <v>4931.079</v>
      </c>
      <c r="X17" s="109">
        <f t="shared" si="13"/>
        <v>0</v>
      </c>
      <c r="Y17" s="131">
        <v>4931.079</v>
      </c>
      <c r="Z17" s="95"/>
      <c r="AA17" s="131">
        <f t="shared" si="8"/>
        <v>4931.079</v>
      </c>
      <c r="AB17" s="132"/>
      <c r="AC17" s="123">
        <f>SUM(AA17:AB17)</f>
        <v>4931.079</v>
      </c>
      <c r="AD17" s="110"/>
      <c r="AE17" s="133">
        <f t="shared" si="9"/>
        <v>4931.079</v>
      </c>
      <c r="AF17" s="88"/>
      <c r="AG17" s="134">
        <f t="shared" si="14"/>
        <v>4931.079</v>
      </c>
      <c r="AH17" s="110"/>
      <c r="AI17" s="134">
        <f t="shared" si="10"/>
        <v>4931.079</v>
      </c>
      <c r="AJ17" s="140"/>
      <c r="AK17" s="134">
        <f t="shared" si="15"/>
        <v>4931.079</v>
      </c>
      <c r="AL17" s="108"/>
      <c r="AM17" s="134">
        <f t="shared" si="16"/>
        <v>4931.079</v>
      </c>
      <c r="AN17" s="140"/>
      <c r="AO17" s="134">
        <f t="shared" si="17"/>
        <v>4931.079</v>
      </c>
      <c r="AP17" s="110"/>
      <c r="AQ17" s="134">
        <f t="shared" ref="AQ17:AQ25" si="26">SUM(AO17,AP17)</f>
        <v>4931.079</v>
      </c>
      <c r="AR17" s="42">
        <v>4931.079</v>
      </c>
      <c r="AS17" s="42">
        <f t="shared" si="18"/>
        <v>0</v>
      </c>
      <c r="AT17" s="88"/>
      <c r="AU17" s="42">
        <f t="shared" si="19"/>
        <v>4931.079</v>
      </c>
      <c r="AV17" s="42"/>
      <c r="AW17" s="87">
        <v>4931.07883</v>
      </c>
      <c r="AX17" s="87"/>
      <c r="AY17" s="109">
        <f>SUM(AW17,AX17)</f>
        <v>4931.07883</v>
      </c>
      <c r="AZ17" s="35"/>
      <c r="BA17" s="105">
        <f t="shared" si="22"/>
        <v>4931.07883</v>
      </c>
    </row>
    <row r="18" s="3" customFormat="1" ht="64.5" customHeight="1" spans="1:53">
      <c r="A18" s="47" t="s">
        <v>49</v>
      </c>
      <c r="B18" s="48" t="s">
        <v>52</v>
      </c>
      <c r="C18" s="52" t="s">
        <v>53</v>
      </c>
      <c r="D18" s="50"/>
      <c r="E18" s="51">
        <v>5051.11</v>
      </c>
      <c r="F18" s="51">
        <v>3714.2</v>
      </c>
      <c r="G18" s="51">
        <v>87.4</v>
      </c>
      <c r="H18" s="51">
        <f>F18+G18</f>
        <v>3801.6</v>
      </c>
      <c r="I18" s="42">
        <v>1370.5</v>
      </c>
      <c r="J18" s="87">
        <f>SUM(H18,I18)</f>
        <v>5172.1</v>
      </c>
      <c r="K18" s="42">
        <v>4861.8</v>
      </c>
      <c r="L18" s="87">
        <v>310.3</v>
      </c>
      <c r="M18" s="88"/>
      <c r="N18" s="51">
        <v>135.291</v>
      </c>
      <c r="O18" s="89">
        <v>2118.865</v>
      </c>
      <c r="P18" s="89">
        <v>0</v>
      </c>
      <c r="Q18" s="89">
        <f t="shared" si="6"/>
        <v>2118.865</v>
      </c>
      <c r="R18" s="89"/>
      <c r="S18" s="37">
        <f t="shared" si="11"/>
        <v>-2118.865</v>
      </c>
      <c r="T18" s="110"/>
      <c r="U18" s="89">
        <f t="shared" si="7"/>
        <v>0</v>
      </c>
      <c r="V18" s="108"/>
      <c r="W18" s="111">
        <f t="shared" si="12"/>
        <v>0</v>
      </c>
      <c r="X18" s="109">
        <f t="shared" si="13"/>
        <v>0</v>
      </c>
      <c r="Y18" s="121"/>
      <c r="Z18" s="95"/>
      <c r="AA18" s="131">
        <f t="shared" si="8"/>
        <v>0</v>
      </c>
      <c r="AB18" s="134">
        <f>618.564</f>
        <v>618.564</v>
      </c>
      <c r="AC18" s="123">
        <f t="shared" ref="AC18:AC25" si="27">SUM(AA18:AB18)</f>
        <v>618.564</v>
      </c>
      <c r="AD18" s="110"/>
      <c r="AE18" s="133">
        <f t="shared" si="9"/>
        <v>618.564</v>
      </c>
      <c r="AF18" s="88"/>
      <c r="AG18" s="134">
        <f t="shared" si="14"/>
        <v>618.564</v>
      </c>
      <c r="AH18" s="110"/>
      <c r="AI18" s="134">
        <f t="shared" si="10"/>
        <v>618.564</v>
      </c>
      <c r="AJ18" s="140"/>
      <c r="AK18" s="134">
        <f t="shared" si="15"/>
        <v>618.564</v>
      </c>
      <c r="AL18" s="108"/>
      <c r="AM18" s="134">
        <f t="shared" si="16"/>
        <v>618.564</v>
      </c>
      <c r="AN18" s="140"/>
      <c r="AO18" s="134">
        <f t="shared" si="17"/>
        <v>618.564</v>
      </c>
      <c r="AP18" s="110"/>
      <c r="AQ18" s="134">
        <f t="shared" si="26"/>
        <v>618.564</v>
      </c>
      <c r="AR18" s="42"/>
      <c r="AS18" s="42">
        <f t="shared" si="18"/>
        <v>-618.564</v>
      </c>
      <c r="AT18" s="88"/>
      <c r="AU18" s="42">
        <f t="shared" si="19"/>
        <v>0</v>
      </c>
      <c r="AV18" s="42"/>
      <c r="AW18" s="87">
        <v>875</v>
      </c>
      <c r="AX18" s="87"/>
      <c r="AY18" s="109">
        <f t="shared" si="21"/>
        <v>875</v>
      </c>
      <c r="AZ18" s="35"/>
      <c r="BA18" s="105">
        <f t="shared" si="22"/>
        <v>875</v>
      </c>
    </row>
    <row r="19" s="3" customFormat="1" ht="63" customHeight="1" spans="1:53">
      <c r="A19" s="34" t="s">
        <v>54</v>
      </c>
      <c r="B19" s="48" t="s">
        <v>55</v>
      </c>
      <c r="C19" s="49" t="s">
        <v>56</v>
      </c>
      <c r="D19" s="50"/>
      <c r="E19" s="51"/>
      <c r="F19" s="51"/>
      <c r="G19" s="51"/>
      <c r="H19" s="51"/>
      <c r="I19" s="42"/>
      <c r="J19" s="87"/>
      <c r="K19" s="42"/>
      <c r="L19" s="87"/>
      <c r="M19" s="88"/>
      <c r="N19" s="51"/>
      <c r="O19" s="89"/>
      <c r="P19" s="89">
        <v>1553.72</v>
      </c>
      <c r="Q19" s="89">
        <f t="shared" si="6"/>
        <v>1553.72</v>
      </c>
      <c r="R19" s="89"/>
      <c r="S19" s="37">
        <f t="shared" si="11"/>
        <v>-1553.72</v>
      </c>
      <c r="T19" s="110"/>
      <c r="U19" s="89">
        <f t="shared" si="7"/>
        <v>0</v>
      </c>
      <c r="V19" s="108"/>
      <c r="W19" s="111">
        <f t="shared" si="12"/>
        <v>0</v>
      </c>
      <c r="X19" s="109">
        <f t="shared" si="13"/>
        <v>0</v>
      </c>
      <c r="Y19" s="121"/>
      <c r="Z19" s="95"/>
      <c r="AA19" s="131">
        <f t="shared" si="8"/>
        <v>0</v>
      </c>
      <c r="AB19" s="132"/>
      <c r="AC19" s="123">
        <f t="shared" si="27"/>
        <v>0</v>
      </c>
      <c r="AD19" s="110"/>
      <c r="AE19" s="133">
        <v>3615.9</v>
      </c>
      <c r="AF19" s="88"/>
      <c r="AG19" s="134">
        <f t="shared" si="14"/>
        <v>3615.9</v>
      </c>
      <c r="AH19" s="110"/>
      <c r="AI19" s="134">
        <f t="shared" si="10"/>
        <v>3615.9</v>
      </c>
      <c r="AJ19" s="140"/>
      <c r="AK19" s="134">
        <f t="shared" si="15"/>
        <v>3615.9</v>
      </c>
      <c r="AL19" s="108"/>
      <c r="AM19" s="134">
        <f t="shared" si="16"/>
        <v>3615.9</v>
      </c>
      <c r="AN19" s="140"/>
      <c r="AO19" s="134">
        <f t="shared" si="17"/>
        <v>3615.9</v>
      </c>
      <c r="AP19" s="110"/>
      <c r="AQ19" s="134">
        <f t="shared" si="26"/>
        <v>3615.9</v>
      </c>
      <c r="AR19" s="42">
        <v>3862.1</v>
      </c>
      <c r="AS19" s="42">
        <f t="shared" si="18"/>
        <v>246.2</v>
      </c>
      <c r="AT19" s="88"/>
      <c r="AU19" s="42">
        <f t="shared" si="19"/>
        <v>3862.1</v>
      </c>
      <c r="AV19" s="42"/>
      <c r="AW19" s="87">
        <f t="shared" ref="AW19:AW86" si="28">AU19</f>
        <v>3862.1</v>
      </c>
      <c r="AX19" s="87"/>
      <c r="AY19" s="109">
        <f t="shared" si="21"/>
        <v>3862.1</v>
      </c>
      <c r="AZ19" s="35"/>
      <c r="BA19" s="105">
        <f t="shared" si="22"/>
        <v>3862.1</v>
      </c>
    </row>
    <row r="20" s="3" customFormat="1" ht="49.5" customHeight="1" spans="1:53">
      <c r="A20" s="34" t="s">
        <v>57</v>
      </c>
      <c r="B20" s="53" t="s">
        <v>58</v>
      </c>
      <c r="C20" s="54" t="s">
        <v>59</v>
      </c>
      <c r="D20" s="50"/>
      <c r="E20" s="51"/>
      <c r="F20" s="51"/>
      <c r="G20" s="51"/>
      <c r="H20" s="51"/>
      <c r="I20" s="42"/>
      <c r="J20" s="87"/>
      <c r="K20" s="42"/>
      <c r="L20" s="87"/>
      <c r="M20" s="88"/>
      <c r="N20" s="51"/>
      <c r="O20" s="89"/>
      <c r="P20" s="89"/>
      <c r="Q20" s="89"/>
      <c r="R20" s="89"/>
      <c r="S20" s="37"/>
      <c r="T20" s="110"/>
      <c r="U20" s="89"/>
      <c r="V20" s="108"/>
      <c r="W20" s="111"/>
      <c r="X20" s="109"/>
      <c r="Y20" s="121"/>
      <c r="Z20" s="95"/>
      <c r="AA20" s="131">
        <v>0</v>
      </c>
      <c r="AB20" s="134">
        <f>10565.9+674.41915</f>
        <v>11240.31915</v>
      </c>
      <c r="AC20" s="123">
        <f t="shared" si="27"/>
        <v>11240.31915</v>
      </c>
      <c r="AD20" s="110"/>
      <c r="AE20" s="133">
        <f t="shared" si="9"/>
        <v>11240.31915</v>
      </c>
      <c r="AF20" s="95">
        <v>-3540.745</v>
      </c>
      <c r="AG20" s="134">
        <f t="shared" si="14"/>
        <v>7699.57415</v>
      </c>
      <c r="AH20" s="110"/>
      <c r="AI20" s="134">
        <f t="shared" si="10"/>
        <v>7699.57415</v>
      </c>
      <c r="AJ20" s="140"/>
      <c r="AK20" s="134">
        <f t="shared" si="15"/>
        <v>7699.57415</v>
      </c>
      <c r="AL20" s="108"/>
      <c r="AM20" s="134">
        <f t="shared" si="16"/>
        <v>7699.57415</v>
      </c>
      <c r="AN20" s="140"/>
      <c r="AO20" s="134">
        <f t="shared" si="17"/>
        <v>7699.57415</v>
      </c>
      <c r="AP20" s="110"/>
      <c r="AQ20" s="134">
        <f t="shared" si="26"/>
        <v>7699.57415</v>
      </c>
      <c r="AR20" s="42"/>
      <c r="AS20" s="42">
        <f t="shared" si="18"/>
        <v>-7699.57415</v>
      </c>
      <c r="AT20" s="88"/>
      <c r="AU20" s="42">
        <f t="shared" si="19"/>
        <v>0</v>
      </c>
      <c r="AV20" s="42"/>
      <c r="AW20" s="87">
        <v>53.10283</v>
      </c>
      <c r="AX20" s="87"/>
      <c r="AY20" s="109">
        <f t="shared" si="21"/>
        <v>53.10283</v>
      </c>
      <c r="AZ20" s="35"/>
      <c r="BA20" s="105">
        <f t="shared" si="22"/>
        <v>53.10283</v>
      </c>
    </row>
    <row r="21" s="3" customFormat="1" ht="40.5" customHeight="1" spans="1:53">
      <c r="A21" s="47" t="s">
        <v>57</v>
      </c>
      <c r="B21" s="55" t="s">
        <v>60</v>
      </c>
      <c r="C21" s="52" t="s">
        <v>61</v>
      </c>
      <c r="D21" s="50"/>
      <c r="E21" s="51"/>
      <c r="F21" s="51"/>
      <c r="G21" s="51"/>
      <c r="H21" s="51"/>
      <c r="I21" s="42"/>
      <c r="J21" s="87"/>
      <c r="K21" s="42"/>
      <c r="L21" s="87"/>
      <c r="M21" s="88"/>
      <c r="N21" s="51"/>
      <c r="O21" s="89"/>
      <c r="P21" s="89"/>
      <c r="Q21" s="89"/>
      <c r="R21" s="89">
        <v>0</v>
      </c>
      <c r="S21" s="37"/>
      <c r="T21" s="95">
        <v>106.383</v>
      </c>
      <c r="U21" s="89">
        <f>R21+T21</f>
        <v>106.383</v>
      </c>
      <c r="V21" s="108"/>
      <c r="W21" s="111"/>
      <c r="X21" s="109">
        <f>SUM(Y21-W21)</f>
        <v>0</v>
      </c>
      <c r="Y21" s="121"/>
      <c r="Z21" s="95"/>
      <c r="AA21" s="131">
        <f>SUM(Y21,Z21)</f>
        <v>0</v>
      </c>
      <c r="AB21" s="132"/>
      <c r="AC21" s="123">
        <f t="shared" si="27"/>
        <v>0</v>
      </c>
      <c r="AD21" s="110"/>
      <c r="AE21" s="133">
        <f t="shared" si="9"/>
        <v>0</v>
      </c>
      <c r="AF21" s="95">
        <v>50.829</v>
      </c>
      <c r="AG21" s="134">
        <f t="shared" si="14"/>
        <v>50.829</v>
      </c>
      <c r="AH21" s="110"/>
      <c r="AI21" s="134">
        <f t="shared" si="10"/>
        <v>50.829</v>
      </c>
      <c r="AJ21" s="140"/>
      <c r="AK21" s="134">
        <f t="shared" si="15"/>
        <v>50.829</v>
      </c>
      <c r="AL21" s="141"/>
      <c r="AM21" s="134">
        <f t="shared" si="16"/>
        <v>50.829</v>
      </c>
      <c r="AN21" s="140"/>
      <c r="AO21" s="134">
        <f t="shared" si="17"/>
        <v>50.829</v>
      </c>
      <c r="AP21" s="110"/>
      <c r="AQ21" s="134">
        <f t="shared" si="26"/>
        <v>50.829</v>
      </c>
      <c r="AR21" s="42"/>
      <c r="AS21" s="42">
        <f t="shared" si="18"/>
        <v>-50.829</v>
      </c>
      <c r="AT21" s="88"/>
      <c r="AU21" s="42">
        <f t="shared" si="19"/>
        <v>0</v>
      </c>
      <c r="AV21" s="42"/>
      <c r="AW21" s="87">
        <v>45.81725</v>
      </c>
      <c r="AX21" s="87"/>
      <c r="AY21" s="109">
        <f t="shared" si="21"/>
        <v>45.81725</v>
      </c>
      <c r="AZ21" s="35"/>
      <c r="BA21" s="105">
        <f t="shared" si="22"/>
        <v>45.81725</v>
      </c>
    </row>
    <row r="22" s="3" customFormat="1" ht="48.75" customHeight="1" spans="1:55">
      <c r="A22" s="47" t="s">
        <v>57</v>
      </c>
      <c r="B22" s="48" t="s">
        <v>62</v>
      </c>
      <c r="C22" s="49" t="s">
        <v>63</v>
      </c>
      <c r="D22" s="50"/>
      <c r="E22" s="51">
        <v>5051.11</v>
      </c>
      <c r="F22" s="51">
        <v>3714.2</v>
      </c>
      <c r="G22" s="51">
        <v>87.4</v>
      </c>
      <c r="H22" s="51">
        <f>F22+G22</f>
        <v>3801.6</v>
      </c>
      <c r="I22" s="42">
        <v>1370.5</v>
      </c>
      <c r="J22" s="87">
        <v>0</v>
      </c>
      <c r="K22" s="42">
        <v>4861.8</v>
      </c>
      <c r="L22" s="87">
        <v>310.3</v>
      </c>
      <c r="M22" s="88"/>
      <c r="N22" s="51">
        <v>334.19728</v>
      </c>
      <c r="O22" s="89">
        <v>334.197</v>
      </c>
      <c r="P22" s="90"/>
      <c r="Q22" s="89">
        <f>P22+O22</f>
        <v>334.197</v>
      </c>
      <c r="R22" s="89"/>
      <c r="S22" s="37">
        <f t="shared" si="11"/>
        <v>-334.197</v>
      </c>
      <c r="T22" s="110"/>
      <c r="U22" s="89">
        <v>1063.18</v>
      </c>
      <c r="V22" s="112"/>
      <c r="W22" s="111"/>
      <c r="X22" s="109">
        <f t="shared" si="13"/>
        <v>0</v>
      </c>
      <c r="Y22" s="121"/>
      <c r="Z22" s="95"/>
      <c r="AA22" s="131">
        <f t="shared" si="8"/>
        <v>0</v>
      </c>
      <c r="AB22" s="134">
        <v>991.69274</v>
      </c>
      <c r="AC22" s="123">
        <f t="shared" si="27"/>
        <v>991.69274</v>
      </c>
      <c r="AD22" s="110"/>
      <c r="AE22" s="133">
        <f t="shared" si="9"/>
        <v>991.69274</v>
      </c>
      <c r="AF22" s="88"/>
      <c r="AG22" s="134">
        <f t="shared" si="14"/>
        <v>991.69274</v>
      </c>
      <c r="AH22" s="110"/>
      <c r="AI22" s="134">
        <f t="shared" si="10"/>
        <v>991.69274</v>
      </c>
      <c r="AJ22" s="140"/>
      <c r="AK22" s="134">
        <f t="shared" si="15"/>
        <v>991.69274</v>
      </c>
      <c r="AL22" s="141"/>
      <c r="AM22" s="134">
        <f t="shared" si="16"/>
        <v>991.69274</v>
      </c>
      <c r="AN22" s="140"/>
      <c r="AO22" s="134">
        <f t="shared" si="17"/>
        <v>991.69274</v>
      </c>
      <c r="AP22" s="110"/>
      <c r="AQ22" s="134">
        <f t="shared" si="26"/>
        <v>991.69274</v>
      </c>
      <c r="AR22" s="42"/>
      <c r="AS22" s="42">
        <f t="shared" si="18"/>
        <v>-991.69274</v>
      </c>
      <c r="AT22" s="88"/>
      <c r="AU22" s="42">
        <f t="shared" si="19"/>
        <v>0</v>
      </c>
      <c r="AV22" s="42"/>
      <c r="AW22" s="87">
        <v>983.31807</v>
      </c>
      <c r="AX22" s="87"/>
      <c r="AY22" s="109">
        <f t="shared" si="21"/>
        <v>983.31807</v>
      </c>
      <c r="AZ22" s="35"/>
      <c r="BA22" s="105">
        <f t="shared" si="22"/>
        <v>983.31807</v>
      </c>
      <c r="BB22" s="153"/>
      <c r="BC22" s="153"/>
    </row>
    <row r="23" s="3" customFormat="1" ht="49.5" hidden="1" customHeight="1" spans="1:53">
      <c r="A23" s="47" t="s">
        <v>64</v>
      </c>
      <c r="B23" s="48" t="s">
        <v>65</v>
      </c>
      <c r="C23" s="49" t="s">
        <v>66</v>
      </c>
      <c r="D23" s="50"/>
      <c r="E23" s="51"/>
      <c r="F23" s="51"/>
      <c r="G23" s="51"/>
      <c r="H23" s="51"/>
      <c r="I23" s="42"/>
      <c r="J23" s="87"/>
      <c r="K23" s="42"/>
      <c r="L23" s="87"/>
      <c r="M23" s="88"/>
      <c r="N23" s="51"/>
      <c r="O23" s="89"/>
      <c r="P23" s="90"/>
      <c r="Q23" s="89"/>
      <c r="R23" s="89"/>
      <c r="S23" s="37"/>
      <c r="T23" s="110"/>
      <c r="U23" s="89"/>
      <c r="V23" s="112"/>
      <c r="W23" s="111"/>
      <c r="X23" s="109"/>
      <c r="Y23" s="121"/>
      <c r="Z23" s="95"/>
      <c r="AA23" s="131"/>
      <c r="AB23" s="134"/>
      <c r="AC23" s="123"/>
      <c r="AD23" s="110"/>
      <c r="AE23" s="133"/>
      <c r="AF23" s="88"/>
      <c r="AG23" s="134"/>
      <c r="AH23" s="110"/>
      <c r="AI23" s="134">
        <v>0</v>
      </c>
      <c r="AJ23" s="42">
        <v>5320</v>
      </c>
      <c r="AK23" s="134">
        <f t="shared" si="15"/>
        <v>5320</v>
      </c>
      <c r="AL23" s="141"/>
      <c r="AM23" s="134">
        <f t="shared" si="16"/>
        <v>5320</v>
      </c>
      <c r="AN23" s="140"/>
      <c r="AO23" s="134">
        <f t="shared" si="17"/>
        <v>5320</v>
      </c>
      <c r="AP23" s="110"/>
      <c r="AQ23" s="134">
        <f t="shared" si="26"/>
        <v>5320</v>
      </c>
      <c r="AR23" s="42"/>
      <c r="AS23" s="42">
        <f t="shared" si="18"/>
        <v>-5320</v>
      </c>
      <c r="AT23" s="88"/>
      <c r="AU23" s="42">
        <f t="shared" si="19"/>
        <v>0</v>
      </c>
      <c r="AV23" s="42"/>
      <c r="AW23" s="87">
        <f t="shared" si="28"/>
        <v>0</v>
      </c>
      <c r="AX23" s="87"/>
      <c r="AY23" s="109">
        <f t="shared" si="21"/>
        <v>0</v>
      </c>
      <c r="AZ23" s="35"/>
      <c r="BA23" s="105">
        <f t="shared" si="22"/>
        <v>0</v>
      </c>
    </row>
    <row r="24" s="3" customFormat="1" ht="56.25" spans="1:53">
      <c r="A24" s="47" t="s">
        <v>64</v>
      </c>
      <c r="B24" s="55" t="s">
        <v>67</v>
      </c>
      <c r="C24" s="49" t="s">
        <v>68</v>
      </c>
      <c r="D24" s="50"/>
      <c r="E24" s="51">
        <v>749.251</v>
      </c>
      <c r="F24" s="51">
        <v>15</v>
      </c>
      <c r="G24" s="51"/>
      <c r="H24" s="51">
        <f>F24+G24</f>
        <v>15</v>
      </c>
      <c r="I24" s="42">
        <v>678.8</v>
      </c>
      <c r="J24" s="87">
        <f>SUM(H24,I24)</f>
        <v>693.8</v>
      </c>
      <c r="K24" s="42">
        <v>679.9</v>
      </c>
      <c r="L24" s="42">
        <v>13.9</v>
      </c>
      <c r="M24" s="88"/>
      <c r="N24" s="37"/>
      <c r="O24" s="89">
        <v>693.8</v>
      </c>
      <c r="P24" s="90"/>
      <c r="Q24" s="89">
        <f t="shared" si="6"/>
        <v>693.8</v>
      </c>
      <c r="R24" s="89">
        <v>749.3</v>
      </c>
      <c r="S24" s="37">
        <f t="shared" si="11"/>
        <v>55.5</v>
      </c>
      <c r="T24" s="89"/>
      <c r="U24" s="89">
        <f t="shared" si="7"/>
        <v>749.3</v>
      </c>
      <c r="V24" s="108"/>
      <c r="W24" s="111">
        <v>747.2</v>
      </c>
      <c r="X24" s="109">
        <f t="shared" si="13"/>
        <v>0</v>
      </c>
      <c r="Y24" s="131">
        <v>747.2</v>
      </c>
      <c r="Z24" s="95">
        <v>-0.012</v>
      </c>
      <c r="AA24" s="131">
        <f>SUM(Y24,Z24)</f>
        <v>747.188</v>
      </c>
      <c r="AB24" s="132"/>
      <c r="AC24" s="123">
        <f t="shared" si="27"/>
        <v>747.188</v>
      </c>
      <c r="AD24" s="110"/>
      <c r="AE24" s="133">
        <f t="shared" si="9"/>
        <v>747.188</v>
      </c>
      <c r="AF24" s="88"/>
      <c r="AG24" s="134">
        <f t="shared" si="14"/>
        <v>747.188</v>
      </c>
      <c r="AH24" s="110"/>
      <c r="AI24" s="134">
        <f t="shared" si="10"/>
        <v>747.188</v>
      </c>
      <c r="AJ24" s="140"/>
      <c r="AK24" s="134">
        <f t="shared" si="15"/>
        <v>747.188</v>
      </c>
      <c r="AL24" s="108"/>
      <c r="AM24" s="134">
        <f t="shared" si="16"/>
        <v>747.188</v>
      </c>
      <c r="AN24" s="140"/>
      <c r="AO24" s="134">
        <f t="shared" si="17"/>
        <v>747.188</v>
      </c>
      <c r="AP24" s="110"/>
      <c r="AQ24" s="134">
        <f t="shared" si="26"/>
        <v>747.188</v>
      </c>
      <c r="AR24" s="42">
        <v>747.2</v>
      </c>
      <c r="AS24" s="42">
        <f t="shared" si="18"/>
        <v>0.0119999999999436</v>
      </c>
      <c r="AT24" s="42">
        <v>34.87332</v>
      </c>
      <c r="AU24" s="42">
        <f t="shared" si="19"/>
        <v>782.07332</v>
      </c>
      <c r="AV24" s="42"/>
      <c r="AW24" s="87">
        <v>782.07332</v>
      </c>
      <c r="AX24" s="87"/>
      <c r="AY24" s="109">
        <f t="shared" si="21"/>
        <v>782.07332</v>
      </c>
      <c r="AZ24" s="35"/>
      <c r="BA24" s="105">
        <f t="shared" si="22"/>
        <v>782.07332</v>
      </c>
    </row>
    <row r="25" s="4" customFormat="1" ht="31.5" customHeight="1" spans="1:53">
      <c r="A25" s="56" t="s">
        <v>69</v>
      </c>
      <c r="B25" s="55" t="s">
        <v>70</v>
      </c>
      <c r="C25" s="49" t="s">
        <v>71</v>
      </c>
      <c r="D25" s="50"/>
      <c r="E25" s="51">
        <v>2373.558</v>
      </c>
      <c r="F25" s="51">
        <v>878.6</v>
      </c>
      <c r="G25" s="51"/>
      <c r="H25" s="51">
        <f>F25+G25</f>
        <v>878.6</v>
      </c>
      <c r="I25" s="42">
        <v>3033.6</v>
      </c>
      <c r="J25" s="87">
        <f>SUM(H25,I25)</f>
        <v>3912.2</v>
      </c>
      <c r="K25" s="42">
        <v>3151.9</v>
      </c>
      <c r="L25" s="42">
        <v>760.3</v>
      </c>
      <c r="M25" s="88"/>
      <c r="N25" s="37">
        <v>-0.02</v>
      </c>
      <c r="O25" s="89">
        <v>3913.996</v>
      </c>
      <c r="P25" s="91">
        <v>0</v>
      </c>
      <c r="Q25" s="89">
        <f t="shared" si="6"/>
        <v>3913.996</v>
      </c>
      <c r="R25" s="89">
        <v>3170.9</v>
      </c>
      <c r="S25" s="37">
        <f t="shared" si="11"/>
        <v>-743.096</v>
      </c>
      <c r="T25" s="89">
        <v>0</v>
      </c>
      <c r="U25" s="89">
        <v>3601.377</v>
      </c>
      <c r="V25" s="112"/>
      <c r="W25" s="111">
        <v>4764.2</v>
      </c>
      <c r="X25" s="109">
        <f t="shared" si="13"/>
        <v>0</v>
      </c>
      <c r="Y25" s="131">
        <v>4764.2</v>
      </c>
      <c r="Z25" s="95"/>
      <c r="AA25" s="131">
        <f t="shared" ref="AA25:AA91" si="29">SUM(Y25,Z25)</f>
        <v>4764.2</v>
      </c>
      <c r="AB25" s="134">
        <v>244.6</v>
      </c>
      <c r="AC25" s="123">
        <f t="shared" si="27"/>
        <v>5008.8</v>
      </c>
      <c r="AD25" s="63">
        <v>0.067</v>
      </c>
      <c r="AE25" s="133">
        <f t="shared" si="9"/>
        <v>5008.867</v>
      </c>
      <c r="AF25" s="88"/>
      <c r="AG25" s="134">
        <f t="shared" si="14"/>
        <v>5008.867</v>
      </c>
      <c r="AH25" s="110"/>
      <c r="AI25" s="134">
        <f t="shared" si="10"/>
        <v>5008.867</v>
      </c>
      <c r="AJ25" s="42">
        <v>-40.77775</v>
      </c>
      <c r="AK25" s="134">
        <f t="shared" si="15"/>
        <v>4968.08925</v>
      </c>
      <c r="AL25" s="108"/>
      <c r="AM25" s="134">
        <f t="shared" si="16"/>
        <v>4968.08925</v>
      </c>
      <c r="AN25" s="140"/>
      <c r="AO25" s="134">
        <f t="shared" si="17"/>
        <v>4968.08925</v>
      </c>
      <c r="AP25" s="110"/>
      <c r="AQ25" s="134">
        <f t="shared" si="26"/>
        <v>4968.08925</v>
      </c>
      <c r="AR25" s="42">
        <v>2796.1</v>
      </c>
      <c r="AS25" s="42">
        <f t="shared" si="18"/>
        <v>-2171.98925</v>
      </c>
      <c r="AT25" s="88"/>
      <c r="AU25" s="42">
        <f t="shared" si="19"/>
        <v>2796.1</v>
      </c>
      <c r="AV25" s="42"/>
      <c r="AW25" s="87">
        <v>3634.96141</v>
      </c>
      <c r="AX25" s="87"/>
      <c r="AY25" s="109">
        <f t="shared" si="21"/>
        <v>3634.96141</v>
      </c>
      <c r="AZ25" s="154"/>
      <c r="BA25" s="105">
        <f t="shared" si="22"/>
        <v>3634.96141</v>
      </c>
    </row>
    <row r="26" s="5" customFormat="1" ht="19.5" spans="1:53">
      <c r="A26" s="57" t="s">
        <v>35</v>
      </c>
      <c r="B26" s="58" t="s">
        <v>72</v>
      </c>
      <c r="C26" s="59" t="s">
        <v>73</v>
      </c>
      <c r="D26" s="50">
        <f t="shared" ref="D26:O26" si="30">SUM(D27)</f>
        <v>129526.4</v>
      </c>
      <c r="E26" s="60">
        <f t="shared" si="30"/>
        <v>81130.67625</v>
      </c>
      <c r="F26" s="60">
        <f t="shared" si="30"/>
        <v>110500.8</v>
      </c>
      <c r="G26" s="60">
        <f t="shared" si="30"/>
        <v>43663.6</v>
      </c>
      <c r="H26" s="60">
        <f t="shared" si="30"/>
        <v>154164.4</v>
      </c>
      <c r="I26" s="92">
        <f t="shared" si="30"/>
        <v>10191.4</v>
      </c>
      <c r="J26" s="60">
        <f t="shared" si="30"/>
        <v>164355.8</v>
      </c>
      <c r="K26" s="60">
        <f t="shared" si="30"/>
        <v>0</v>
      </c>
      <c r="L26" s="60">
        <f t="shared" si="30"/>
        <v>164355.8</v>
      </c>
      <c r="M26" s="60">
        <f t="shared" si="30"/>
        <v>0</v>
      </c>
      <c r="N26" s="60">
        <f t="shared" si="30"/>
        <v>10973.7</v>
      </c>
      <c r="O26" s="21">
        <f t="shared" si="30"/>
        <v>211539.829</v>
      </c>
      <c r="P26" s="93">
        <f>P27</f>
        <v>2124.401</v>
      </c>
      <c r="Q26" s="21">
        <f t="shared" si="6"/>
        <v>213664.23</v>
      </c>
      <c r="R26" s="21">
        <f>R27</f>
        <v>150824.4</v>
      </c>
      <c r="S26" s="21">
        <f>S27</f>
        <v>-62839.83</v>
      </c>
      <c r="T26" s="21">
        <f>T27</f>
        <v>4018.9</v>
      </c>
      <c r="U26" s="21">
        <f>SUM(U27)</f>
        <v>154348.2</v>
      </c>
      <c r="V26" s="21">
        <f>SUM(V27)</f>
        <v>4897.2</v>
      </c>
      <c r="W26" s="21">
        <f>SUM(W27)</f>
        <v>112991.9</v>
      </c>
      <c r="X26" s="100">
        <f t="shared" ref="X26:AU26" si="31">SUM(X27)</f>
        <v>12825.2</v>
      </c>
      <c r="Y26" s="120">
        <f t="shared" si="31"/>
        <v>125817.1</v>
      </c>
      <c r="Z26" s="120">
        <f t="shared" si="31"/>
        <v>-0.065</v>
      </c>
      <c r="AA26" s="120">
        <f t="shared" si="31"/>
        <v>125817.035</v>
      </c>
      <c r="AB26" s="123">
        <f t="shared" si="31"/>
        <v>8801.1</v>
      </c>
      <c r="AC26" s="123">
        <f t="shared" si="31"/>
        <v>134618.135</v>
      </c>
      <c r="AD26" s="123">
        <f t="shared" si="31"/>
        <v>-0.001</v>
      </c>
      <c r="AE26" s="123">
        <f t="shared" si="31"/>
        <v>134618.134</v>
      </c>
      <c r="AF26" s="123">
        <f t="shared" si="31"/>
        <v>-47</v>
      </c>
      <c r="AG26" s="123">
        <f t="shared" si="31"/>
        <v>134571.134</v>
      </c>
      <c r="AH26" s="132">
        <f t="shared" si="31"/>
        <v>0</v>
      </c>
      <c r="AI26" s="132">
        <f t="shared" si="31"/>
        <v>134571.134</v>
      </c>
      <c r="AJ26" s="132">
        <f t="shared" si="31"/>
        <v>2448.8</v>
      </c>
      <c r="AK26" s="142">
        <f t="shared" si="31"/>
        <v>137019.934</v>
      </c>
      <c r="AL26" s="132">
        <f t="shared" si="31"/>
        <v>1327.27492</v>
      </c>
      <c r="AM26" s="132">
        <f t="shared" si="31"/>
        <v>138347.20892</v>
      </c>
      <c r="AN26" s="132">
        <f t="shared" si="31"/>
        <v>703.823</v>
      </c>
      <c r="AO26" s="132">
        <f t="shared" si="31"/>
        <v>139051.03192</v>
      </c>
      <c r="AP26" s="132">
        <f t="shared" si="31"/>
        <v>-15.852</v>
      </c>
      <c r="AQ26" s="132">
        <f t="shared" si="31"/>
        <v>139035.17992</v>
      </c>
      <c r="AR26" s="132">
        <f t="shared" si="31"/>
        <v>73943</v>
      </c>
      <c r="AS26" s="132">
        <f t="shared" si="31"/>
        <v>-65092.17992</v>
      </c>
      <c r="AT26" s="132">
        <f t="shared" si="31"/>
        <v>54141.9</v>
      </c>
      <c r="AU26" s="132">
        <f t="shared" si="31"/>
        <v>128084.9</v>
      </c>
      <c r="AV26" s="42"/>
      <c r="AW26" s="100">
        <f>SUM(AW27)</f>
        <v>150231.6558</v>
      </c>
      <c r="AX26" s="100">
        <f t="shared" ref="AX26:BA26" si="32">SUM(AX27)</f>
        <v>1249.574</v>
      </c>
      <c r="AY26" s="100">
        <f t="shared" si="32"/>
        <v>151481.2298</v>
      </c>
      <c r="AZ26" s="100">
        <f t="shared" si="32"/>
        <v>158.7</v>
      </c>
      <c r="BA26" s="100">
        <f t="shared" si="32"/>
        <v>151701.0478</v>
      </c>
    </row>
    <row r="27" s="5" customFormat="1" ht="19.5" spans="1:53">
      <c r="A27" s="57" t="s">
        <v>35</v>
      </c>
      <c r="B27" s="58" t="s">
        <v>74</v>
      </c>
      <c r="C27" s="59" t="s">
        <v>75</v>
      </c>
      <c r="D27" s="50">
        <f t="shared" ref="D27:I27" si="33">SUM(D28:D50)</f>
        <v>129526.4</v>
      </c>
      <c r="E27" s="60">
        <f t="shared" si="33"/>
        <v>81130.67625</v>
      </c>
      <c r="F27" s="60">
        <f t="shared" si="33"/>
        <v>110500.8</v>
      </c>
      <c r="G27" s="60">
        <f t="shared" si="33"/>
        <v>43663.6</v>
      </c>
      <c r="H27" s="60">
        <f t="shared" si="33"/>
        <v>154164.4</v>
      </c>
      <c r="I27" s="92">
        <f t="shared" si="33"/>
        <v>10191.4</v>
      </c>
      <c r="J27" s="60">
        <f>SUM(J28:J55)</f>
        <v>164355.8</v>
      </c>
      <c r="K27" s="60">
        <f>SUM(K28:K50)</f>
        <v>0</v>
      </c>
      <c r="L27" s="60">
        <f>SUM(L28:L50)</f>
        <v>164355.8</v>
      </c>
      <c r="M27" s="60">
        <f>SUM(M28:M50)</f>
        <v>0</v>
      </c>
      <c r="N27" s="60">
        <f>SUM(N28:N55)</f>
        <v>10973.7</v>
      </c>
      <c r="O27" s="21">
        <f>SUM(O28:O55)</f>
        <v>211539.829</v>
      </c>
      <c r="P27" s="93">
        <f>SUM(P28:P55)</f>
        <v>2124.401</v>
      </c>
      <c r="Q27" s="21">
        <f t="shared" si="6"/>
        <v>213664.23</v>
      </c>
      <c r="R27" s="21">
        <f t="shared" ref="R27:AU27" si="34">SUM(R28:R55)</f>
        <v>150824.4</v>
      </c>
      <c r="S27" s="21">
        <f t="shared" si="34"/>
        <v>-62839.83</v>
      </c>
      <c r="T27" s="21">
        <f t="shared" si="34"/>
        <v>4018.9</v>
      </c>
      <c r="U27" s="21">
        <f t="shared" si="34"/>
        <v>154348.2</v>
      </c>
      <c r="V27" s="21">
        <f t="shared" si="34"/>
        <v>4897.2</v>
      </c>
      <c r="W27" s="21">
        <f t="shared" si="34"/>
        <v>112991.9</v>
      </c>
      <c r="X27" s="100">
        <f t="shared" si="34"/>
        <v>12825.2</v>
      </c>
      <c r="Y27" s="120">
        <f t="shared" si="34"/>
        <v>125817.1</v>
      </c>
      <c r="Z27" s="120">
        <f t="shared" si="34"/>
        <v>-0.065</v>
      </c>
      <c r="AA27" s="120">
        <f t="shared" si="34"/>
        <v>125817.035</v>
      </c>
      <c r="AB27" s="123">
        <f t="shared" si="34"/>
        <v>8801.1</v>
      </c>
      <c r="AC27" s="123">
        <f t="shared" si="34"/>
        <v>134618.135</v>
      </c>
      <c r="AD27" s="123">
        <f t="shared" si="34"/>
        <v>-0.001</v>
      </c>
      <c r="AE27" s="123">
        <f t="shared" si="34"/>
        <v>134618.134</v>
      </c>
      <c r="AF27" s="123">
        <f t="shared" si="34"/>
        <v>-47</v>
      </c>
      <c r="AG27" s="123">
        <f t="shared" si="34"/>
        <v>134571.134</v>
      </c>
      <c r="AH27" s="132">
        <f t="shared" si="34"/>
        <v>0</v>
      </c>
      <c r="AI27" s="132">
        <f t="shared" si="34"/>
        <v>134571.134</v>
      </c>
      <c r="AJ27" s="132">
        <f t="shared" si="34"/>
        <v>2448.8</v>
      </c>
      <c r="AK27" s="132">
        <f t="shared" si="34"/>
        <v>137019.934</v>
      </c>
      <c r="AL27" s="132">
        <f t="shared" si="34"/>
        <v>1327.27492</v>
      </c>
      <c r="AM27" s="132">
        <f t="shared" si="34"/>
        <v>138347.20892</v>
      </c>
      <c r="AN27" s="132">
        <f t="shared" si="34"/>
        <v>703.823</v>
      </c>
      <c r="AO27" s="132">
        <f t="shared" si="34"/>
        <v>139051.03192</v>
      </c>
      <c r="AP27" s="132">
        <f t="shared" si="34"/>
        <v>-15.852</v>
      </c>
      <c r="AQ27" s="132">
        <f t="shared" si="34"/>
        <v>139035.17992</v>
      </c>
      <c r="AR27" s="132">
        <f t="shared" si="34"/>
        <v>73943</v>
      </c>
      <c r="AS27" s="132">
        <f t="shared" si="34"/>
        <v>-65092.17992</v>
      </c>
      <c r="AT27" s="132">
        <f t="shared" si="34"/>
        <v>54141.9</v>
      </c>
      <c r="AU27" s="132">
        <f t="shared" si="34"/>
        <v>128084.9</v>
      </c>
      <c r="AV27" s="42"/>
      <c r="AW27" s="100">
        <f>SUM(AW28:AW55)</f>
        <v>150231.6558</v>
      </c>
      <c r="AX27" s="100">
        <f>SUM(AX28:AX55)</f>
        <v>1249.574</v>
      </c>
      <c r="AY27" s="100">
        <f>SUM(AY28:AY55)</f>
        <v>151481.2298</v>
      </c>
      <c r="AZ27" s="100">
        <f t="shared" ref="AZ27:BA27" si="35">SUM(AZ28:AZ55)</f>
        <v>158.7</v>
      </c>
      <c r="BA27" s="100">
        <f t="shared" si="35"/>
        <v>151701.0478</v>
      </c>
    </row>
    <row r="28" s="5" customFormat="1" ht="56.25" customHeight="1" spans="1:53">
      <c r="A28" s="34" t="s">
        <v>49</v>
      </c>
      <c r="B28" s="55" t="s">
        <v>74</v>
      </c>
      <c r="C28" s="49" t="s">
        <v>76</v>
      </c>
      <c r="D28" s="42">
        <v>43</v>
      </c>
      <c r="E28" s="51">
        <v>43</v>
      </c>
      <c r="F28" s="51">
        <v>34.9</v>
      </c>
      <c r="G28" s="51"/>
      <c r="H28" s="51">
        <f t="shared" ref="H28:H50" si="36">F28+G28</f>
        <v>34.9</v>
      </c>
      <c r="I28" s="42">
        <v>49.1</v>
      </c>
      <c r="J28" s="87">
        <f>SUM(H28,I28)</f>
        <v>84</v>
      </c>
      <c r="K28" s="94"/>
      <c r="L28" s="87">
        <f>SUM(J28,K28)</f>
        <v>84</v>
      </c>
      <c r="M28" s="94"/>
      <c r="N28" s="60"/>
      <c r="O28" s="89">
        <v>84</v>
      </c>
      <c r="P28" s="93"/>
      <c r="Q28" s="89">
        <f t="shared" si="6"/>
        <v>84</v>
      </c>
      <c r="R28" s="89">
        <v>87</v>
      </c>
      <c r="S28" s="37">
        <f t="shared" si="11"/>
        <v>3</v>
      </c>
      <c r="T28" s="113"/>
      <c r="U28" s="89">
        <f t="shared" si="7"/>
        <v>87</v>
      </c>
      <c r="V28" s="114">
        <v>-44</v>
      </c>
      <c r="W28" s="111">
        <v>91</v>
      </c>
      <c r="X28" s="109">
        <f t="shared" si="13"/>
        <v>0</v>
      </c>
      <c r="Y28" s="131">
        <v>91</v>
      </c>
      <c r="Z28" s="135"/>
      <c r="AA28" s="131">
        <f t="shared" si="29"/>
        <v>91</v>
      </c>
      <c r="AB28" s="136"/>
      <c r="AC28" s="137">
        <f>SUM(AA28:AB28)</f>
        <v>91</v>
      </c>
      <c r="AD28" s="113"/>
      <c r="AE28" s="133">
        <f t="shared" si="9"/>
        <v>91</v>
      </c>
      <c r="AF28" s="42">
        <v>-47</v>
      </c>
      <c r="AG28" s="134">
        <f t="shared" si="14"/>
        <v>44</v>
      </c>
      <c r="AH28" s="113"/>
      <c r="AI28" s="134">
        <f t="shared" si="10"/>
        <v>44</v>
      </c>
      <c r="AJ28" s="58"/>
      <c r="AK28" s="134">
        <f t="shared" si="15"/>
        <v>44</v>
      </c>
      <c r="AL28" s="58"/>
      <c r="AM28" s="134">
        <f t="shared" si="16"/>
        <v>44</v>
      </c>
      <c r="AN28" s="58"/>
      <c r="AO28" s="134">
        <f t="shared" si="17"/>
        <v>44</v>
      </c>
      <c r="AP28" s="95"/>
      <c r="AQ28" s="134">
        <f t="shared" ref="AQ28:AQ55" si="37">SUM(AO28,AP28)</f>
        <v>44</v>
      </c>
      <c r="AR28" s="148">
        <v>92</v>
      </c>
      <c r="AS28" s="42">
        <f t="shared" si="18"/>
        <v>48</v>
      </c>
      <c r="AT28" s="94"/>
      <c r="AU28" s="42">
        <f t="shared" si="19"/>
        <v>92</v>
      </c>
      <c r="AV28" s="42"/>
      <c r="AW28" s="87">
        <f t="shared" si="28"/>
        <v>92</v>
      </c>
      <c r="AX28" s="87"/>
      <c r="AY28" s="109">
        <f t="shared" ref="AY28:AY82" si="38">SUM(AW28,AX28)</f>
        <v>92</v>
      </c>
      <c r="AZ28" s="155"/>
      <c r="BA28" s="105">
        <f t="shared" si="22"/>
        <v>92</v>
      </c>
    </row>
    <row r="29" s="5" customFormat="1" ht="39" customHeight="1" spans="1:53">
      <c r="A29" s="34" t="s">
        <v>49</v>
      </c>
      <c r="B29" s="55" t="s">
        <v>74</v>
      </c>
      <c r="C29" s="49" t="s">
        <v>77</v>
      </c>
      <c r="D29" s="42">
        <v>2221.2</v>
      </c>
      <c r="E29" s="51">
        <v>2221.2</v>
      </c>
      <c r="F29" s="51">
        <v>1098.3</v>
      </c>
      <c r="G29" s="51"/>
      <c r="H29" s="51">
        <f t="shared" si="36"/>
        <v>1098.3</v>
      </c>
      <c r="I29" s="42">
        <v>1098.4</v>
      </c>
      <c r="J29" s="87">
        <f>SUM(H29,I29)</f>
        <v>2196.7</v>
      </c>
      <c r="K29" s="94"/>
      <c r="L29" s="87">
        <f>SUM(J29,K29)</f>
        <v>2196.7</v>
      </c>
      <c r="M29" s="94"/>
      <c r="N29" s="60"/>
      <c r="O29" s="89">
        <v>2196.7</v>
      </c>
      <c r="P29" s="93"/>
      <c r="Q29" s="89">
        <f t="shared" si="6"/>
        <v>2196.7</v>
      </c>
      <c r="R29" s="89">
        <v>2190.9</v>
      </c>
      <c r="S29" s="37">
        <f t="shared" si="11"/>
        <v>-5.79999999999973</v>
      </c>
      <c r="T29" s="89">
        <v>328.6</v>
      </c>
      <c r="U29" s="89">
        <f t="shared" si="7"/>
        <v>2519.5</v>
      </c>
      <c r="V29" s="58"/>
      <c r="W29" s="111">
        <v>1116.3</v>
      </c>
      <c r="X29" s="109">
        <f t="shared" si="13"/>
        <v>1116.3</v>
      </c>
      <c r="Y29" s="131">
        <v>2232.6</v>
      </c>
      <c r="Z29" s="135"/>
      <c r="AA29" s="131">
        <f t="shared" si="29"/>
        <v>2232.6</v>
      </c>
      <c r="AB29" s="138">
        <v>558.2</v>
      </c>
      <c r="AC29" s="137">
        <f t="shared" ref="AC29:AC78" si="39">SUM(AA29:AB29)</f>
        <v>2790.8</v>
      </c>
      <c r="AD29" s="113"/>
      <c r="AE29" s="133">
        <f t="shared" si="9"/>
        <v>2790.8</v>
      </c>
      <c r="AF29" s="95"/>
      <c r="AG29" s="134">
        <f t="shared" si="14"/>
        <v>2790.8</v>
      </c>
      <c r="AH29" s="113"/>
      <c r="AI29" s="134">
        <f t="shared" si="10"/>
        <v>2790.8</v>
      </c>
      <c r="AJ29" s="58"/>
      <c r="AK29" s="134">
        <f t="shared" si="15"/>
        <v>2790.8</v>
      </c>
      <c r="AL29" s="42">
        <v>-361.92508</v>
      </c>
      <c r="AM29" s="134">
        <f t="shared" si="16"/>
        <v>2428.87492</v>
      </c>
      <c r="AN29" s="42">
        <v>-177.777</v>
      </c>
      <c r="AO29" s="134">
        <f t="shared" si="17"/>
        <v>2251.09792</v>
      </c>
      <c r="AP29" s="95">
        <v>-15.852</v>
      </c>
      <c r="AQ29" s="134">
        <f t="shared" si="37"/>
        <v>2235.24592</v>
      </c>
      <c r="AR29" s="42">
        <v>1120</v>
      </c>
      <c r="AS29" s="42">
        <f t="shared" si="18"/>
        <v>-1115.24592</v>
      </c>
      <c r="AT29" s="94"/>
      <c r="AU29" s="42">
        <f t="shared" si="19"/>
        <v>1120</v>
      </c>
      <c r="AV29" s="42"/>
      <c r="AW29" s="87">
        <v>1058.882</v>
      </c>
      <c r="AX29" s="87"/>
      <c r="AY29" s="109">
        <f t="shared" si="38"/>
        <v>1058.882</v>
      </c>
      <c r="AZ29" s="155"/>
      <c r="BA29" s="105">
        <v>1120</v>
      </c>
    </row>
    <row r="30" s="5" customFormat="1" ht="39" customHeight="1" spans="1:53">
      <c r="A30" s="34" t="s">
        <v>49</v>
      </c>
      <c r="B30" s="55" t="s">
        <v>74</v>
      </c>
      <c r="C30" s="49" t="s">
        <v>78</v>
      </c>
      <c r="D30" s="42"/>
      <c r="E30" s="51"/>
      <c r="F30" s="51"/>
      <c r="G30" s="51"/>
      <c r="H30" s="51"/>
      <c r="I30" s="42"/>
      <c r="J30" s="87"/>
      <c r="K30" s="94"/>
      <c r="L30" s="87"/>
      <c r="M30" s="94"/>
      <c r="N30" s="60"/>
      <c r="O30" s="89"/>
      <c r="P30" s="93"/>
      <c r="Q30" s="89"/>
      <c r="R30" s="89"/>
      <c r="S30" s="37"/>
      <c r="T30" s="89"/>
      <c r="U30" s="89"/>
      <c r="V30" s="58"/>
      <c r="W30" s="111"/>
      <c r="X30" s="109"/>
      <c r="Y30" s="131"/>
      <c r="Z30" s="135"/>
      <c r="AA30" s="131"/>
      <c r="AB30" s="138"/>
      <c r="AC30" s="137"/>
      <c r="AD30" s="113"/>
      <c r="AE30" s="133"/>
      <c r="AF30" s="95"/>
      <c r="AG30" s="134"/>
      <c r="AH30" s="113"/>
      <c r="AI30" s="134"/>
      <c r="AJ30" s="58"/>
      <c r="AK30" s="134"/>
      <c r="AL30" s="42"/>
      <c r="AM30" s="134"/>
      <c r="AN30" s="42"/>
      <c r="AO30" s="134"/>
      <c r="AP30" s="95"/>
      <c r="AQ30" s="134"/>
      <c r="AR30" s="42"/>
      <c r="AS30" s="42"/>
      <c r="AT30" s="94"/>
      <c r="AU30" s="42"/>
      <c r="AV30" s="42"/>
      <c r="AW30" s="87">
        <v>1771.84632</v>
      </c>
      <c r="AX30" s="87"/>
      <c r="AY30" s="109">
        <f t="shared" si="38"/>
        <v>1771.84632</v>
      </c>
      <c r="AZ30" s="155"/>
      <c r="BA30" s="105">
        <f t="shared" si="22"/>
        <v>1771.84632</v>
      </c>
    </row>
    <row r="31" s="5" customFormat="1" ht="39" customHeight="1" spans="1:53">
      <c r="A31" s="34" t="s">
        <v>49</v>
      </c>
      <c r="B31" s="55" t="s">
        <v>74</v>
      </c>
      <c r="C31" s="49" t="s">
        <v>79</v>
      </c>
      <c r="D31" s="42"/>
      <c r="E31" s="51"/>
      <c r="F31" s="51"/>
      <c r="G31" s="51"/>
      <c r="H31" s="51"/>
      <c r="I31" s="42"/>
      <c r="J31" s="87"/>
      <c r="K31" s="94"/>
      <c r="L31" s="87"/>
      <c r="M31" s="94"/>
      <c r="N31" s="60"/>
      <c r="O31" s="89"/>
      <c r="P31" s="93"/>
      <c r="Q31" s="89"/>
      <c r="R31" s="89"/>
      <c r="S31" s="37"/>
      <c r="T31" s="89"/>
      <c r="U31" s="89"/>
      <c r="V31" s="58"/>
      <c r="W31" s="111"/>
      <c r="X31" s="109"/>
      <c r="Y31" s="131"/>
      <c r="Z31" s="135"/>
      <c r="AA31" s="131"/>
      <c r="AB31" s="138"/>
      <c r="AC31" s="137"/>
      <c r="AD31" s="113"/>
      <c r="AE31" s="133"/>
      <c r="AF31" s="95"/>
      <c r="AG31" s="134"/>
      <c r="AH31" s="113"/>
      <c r="AI31" s="134"/>
      <c r="AJ31" s="58"/>
      <c r="AK31" s="134"/>
      <c r="AL31" s="42"/>
      <c r="AM31" s="134"/>
      <c r="AN31" s="42"/>
      <c r="AO31" s="134"/>
      <c r="AP31" s="95"/>
      <c r="AQ31" s="134"/>
      <c r="AR31" s="42"/>
      <c r="AS31" s="42"/>
      <c r="AT31" s="94"/>
      <c r="AU31" s="42"/>
      <c r="AV31" s="42"/>
      <c r="AW31" s="87">
        <v>188.77968</v>
      </c>
      <c r="AX31" s="87"/>
      <c r="AY31" s="109">
        <f t="shared" si="38"/>
        <v>188.77968</v>
      </c>
      <c r="AZ31" s="155"/>
      <c r="BA31" s="105">
        <f t="shared" si="22"/>
        <v>188.77968</v>
      </c>
    </row>
    <row r="32" ht="56.25" spans="1:53">
      <c r="A32" s="56" t="s">
        <v>42</v>
      </c>
      <c r="B32" s="55" t="s">
        <v>74</v>
      </c>
      <c r="C32" s="49" t="s">
        <v>80</v>
      </c>
      <c r="D32" s="42">
        <v>28708.9</v>
      </c>
      <c r="E32" s="51">
        <v>28708.9</v>
      </c>
      <c r="F32" s="51"/>
      <c r="G32" s="51">
        <v>42373</v>
      </c>
      <c r="H32" s="51">
        <f t="shared" si="36"/>
        <v>42373</v>
      </c>
      <c r="I32" s="42">
        <v>-14464.3</v>
      </c>
      <c r="J32" s="87">
        <f>SUM(H32,I32)</f>
        <v>27908.7</v>
      </c>
      <c r="K32" s="95"/>
      <c r="L32" s="87">
        <f>SUM(J32,K32)</f>
        <v>27908.7</v>
      </c>
      <c r="M32" s="95"/>
      <c r="N32" s="51">
        <v>2961.2</v>
      </c>
      <c r="O32" s="89">
        <v>30869.9</v>
      </c>
      <c r="P32" s="91"/>
      <c r="Q32" s="89">
        <f t="shared" si="6"/>
        <v>30869.9</v>
      </c>
      <c r="R32" s="89">
        <v>33244.3</v>
      </c>
      <c r="S32" s="37">
        <f t="shared" si="11"/>
        <v>2374.4</v>
      </c>
      <c r="T32" s="89">
        <v>2261.3</v>
      </c>
      <c r="U32" s="89">
        <f t="shared" si="7"/>
        <v>35505.6</v>
      </c>
      <c r="V32" s="55"/>
      <c r="W32" s="111">
        <v>35505.6</v>
      </c>
      <c r="X32" s="109">
        <f t="shared" si="13"/>
        <v>7297.2</v>
      </c>
      <c r="Y32" s="131">
        <v>42802.8</v>
      </c>
      <c r="Z32" s="95"/>
      <c r="AA32" s="131">
        <f t="shared" si="29"/>
        <v>42802.8</v>
      </c>
      <c r="AB32" s="134">
        <v>3831.4</v>
      </c>
      <c r="AC32" s="137">
        <f t="shared" si="39"/>
        <v>46634.2</v>
      </c>
      <c r="AD32" s="115"/>
      <c r="AE32" s="133">
        <f t="shared" si="9"/>
        <v>46634.2</v>
      </c>
      <c r="AF32" s="95"/>
      <c r="AG32" s="134">
        <f t="shared" si="14"/>
        <v>46634.2</v>
      </c>
      <c r="AH32" s="115"/>
      <c r="AI32" s="134">
        <f t="shared" si="10"/>
        <v>46634.2</v>
      </c>
      <c r="AJ32" s="42">
        <v>2423.4</v>
      </c>
      <c r="AK32" s="134">
        <f t="shared" si="15"/>
        <v>49057.6</v>
      </c>
      <c r="AL32" s="55"/>
      <c r="AM32" s="134">
        <f t="shared" si="16"/>
        <v>49057.6</v>
      </c>
      <c r="AN32" s="139"/>
      <c r="AO32" s="134">
        <f t="shared" si="17"/>
        <v>49057.6</v>
      </c>
      <c r="AP32" s="149"/>
      <c r="AQ32" s="134">
        <f t="shared" si="37"/>
        <v>49057.6</v>
      </c>
      <c r="AR32" s="42">
        <v>0</v>
      </c>
      <c r="AS32" s="42">
        <f t="shared" si="18"/>
        <v>-49057.6</v>
      </c>
      <c r="AT32" s="42">
        <v>51481.1</v>
      </c>
      <c r="AU32" s="42">
        <f t="shared" si="19"/>
        <v>51481.1</v>
      </c>
      <c r="AV32" s="42"/>
      <c r="AW32" s="87">
        <v>62693.4</v>
      </c>
      <c r="AX32" s="87"/>
      <c r="AY32" s="109">
        <f t="shared" si="38"/>
        <v>62693.4</v>
      </c>
      <c r="AZ32" s="40"/>
      <c r="BA32" s="105">
        <f t="shared" si="22"/>
        <v>62693.4</v>
      </c>
    </row>
    <row r="33" ht="51.75" hidden="1" customHeight="1" spans="1:53">
      <c r="A33" s="56" t="s">
        <v>42</v>
      </c>
      <c r="B33" s="55" t="s">
        <v>74</v>
      </c>
      <c r="C33" s="49" t="s">
        <v>81</v>
      </c>
      <c r="D33" s="42"/>
      <c r="E33" s="51"/>
      <c r="F33" s="51"/>
      <c r="G33" s="51"/>
      <c r="H33" s="51"/>
      <c r="I33" s="42"/>
      <c r="J33" s="87"/>
      <c r="K33" s="95"/>
      <c r="L33" s="87"/>
      <c r="M33" s="95"/>
      <c r="N33" s="51"/>
      <c r="O33" s="89"/>
      <c r="P33" s="91">
        <v>795.6</v>
      </c>
      <c r="Q33" s="89">
        <f t="shared" si="6"/>
        <v>795.6</v>
      </c>
      <c r="R33" s="89"/>
      <c r="S33" s="37">
        <f t="shared" si="11"/>
        <v>-795.6</v>
      </c>
      <c r="T33" s="115"/>
      <c r="U33" s="21">
        <f t="shared" si="7"/>
        <v>0</v>
      </c>
      <c r="V33" s="112">
        <v>776.5</v>
      </c>
      <c r="W33" s="111">
        <v>0</v>
      </c>
      <c r="X33" s="109">
        <f t="shared" si="13"/>
        <v>922</v>
      </c>
      <c r="Y33" s="131">
        <v>922</v>
      </c>
      <c r="Z33" s="95"/>
      <c r="AA33" s="131">
        <f t="shared" si="29"/>
        <v>922</v>
      </c>
      <c r="AB33" s="134"/>
      <c r="AC33" s="137">
        <f t="shared" si="39"/>
        <v>922</v>
      </c>
      <c r="AD33" s="115"/>
      <c r="AE33" s="133">
        <f t="shared" si="9"/>
        <v>922</v>
      </c>
      <c r="AF33" s="95"/>
      <c r="AG33" s="134">
        <f t="shared" si="14"/>
        <v>922</v>
      </c>
      <c r="AH33" s="115"/>
      <c r="AI33" s="134">
        <f t="shared" si="10"/>
        <v>922</v>
      </c>
      <c r="AJ33" s="139"/>
      <c r="AK33" s="134">
        <f t="shared" si="15"/>
        <v>922</v>
      </c>
      <c r="AL33" s="55"/>
      <c r="AM33" s="134">
        <f t="shared" si="16"/>
        <v>922</v>
      </c>
      <c r="AN33" s="139"/>
      <c r="AO33" s="134">
        <f t="shared" si="17"/>
        <v>922</v>
      </c>
      <c r="AP33" s="149"/>
      <c r="AQ33" s="134">
        <f t="shared" si="37"/>
        <v>922</v>
      </c>
      <c r="AR33" s="42"/>
      <c r="AS33" s="42">
        <f t="shared" si="18"/>
        <v>-922</v>
      </c>
      <c r="AT33" s="95"/>
      <c r="AU33" s="42">
        <f t="shared" si="19"/>
        <v>0</v>
      </c>
      <c r="AV33" s="42"/>
      <c r="AW33" s="87">
        <f t="shared" si="28"/>
        <v>0</v>
      </c>
      <c r="AX33" s="87"/>
      <c r="AY33" s="109">
        <f t="shared" si="38"/>
        <v>0</v>
      </c>
      <c r="AZ33" s="40"/>
      <c r="BA33" s="105">
        <f t="shared" si="22"/>
        <v>0</v>
      </c>
    </row>
    <row r="34" ht="112.5" spans="1:53">
      <c r="A34" s="56" t="s">
        <v>54</v>
      </c>
      <c r="B34" s="55" t="s">
        <v>74</v>
      </c>
      <c r="C34" s="49" t="s">
        <v>82</v>
      </c>
      <c r="D34" s="42"/>
      <c r="E34" s="51"/>
      <c r="F34" s="51"/>
      <c r="G34" s="51"/>
      <c r="H34" s="51"/>
      <c r="I34" s="42"/>
      <c r="J34" s="87"/>
      <c r="K34" s="95"/>
      <c r="L34" s="87"/>
      <c r="M34" s="95"/>
      <c r="N34" s="51"/>
      <c r="O34" s="89"/>
      <c r="P34" s="91"/>
      <c r="Q34" s="89"/>
      <c r="R34" s="89"/>
      <c r="S34" s="37"/>
      <c r="T34" s="115"/>
      <c r="V34" s="112"/>
      <c r="W34" s="111"/>
      <c r="X34" s="109"/>
      <c r="Y34" s="131"/>
      <c r="Z34" s="95"/>
      <c r="AA34" s="131"/>
      <c r="AB34" s="134"/>
      <c r="AC34" s="137"/>
      <c r="AD34" s="115"/>
      <c r="AE34" s="133"/>
      <c r="AF34" s="95"/>
      <c r="AG34" s="134"/>
      <c r="AH34" s="115"/>
      <c r="AI34" s="134"/>
      <c r="AJ34" s="139"/>
      <c r="AK34" s="134"/>
      <c r="AL34" s="55"/>
      <c r="AM34" s="134"/>
      <c r="AN34" s="139"/>
      <c r="AO34" s="134"/>
      <c r="AP34" s="149"/>
      <c r="AQ34" s="134"/>
      <c r="AR34" s="42"/>
      <c r="AS34" s="42"/>
      <c r="AT34" s="95"/>
      <c r="AU34" s="42"/>
      <c r="AV34" s="42"/>
      <c r="AW34" s="87">
        <v>107.5</v>
      </c>
      <c r="AX34" s="87">
        <v>-43.8</v>
      </c>
      <c r="AY34" s="109">
        <f t="shared" si="38"/>
        <v>63.7</v>
      </c>
      <c r="AZ34" s="40"/>
      <c r="BA34" s="105">
        <f t="shared" si="22"/>
        <v>63.7</v>
      </c>
    </row>
    <row r="35" ht="75.75" customHeight="1" spans="1:53">
      <c r="A35" s="56" t="s">
        <v>54</v>
      </c>
      <c r="B35" s="55" t="s">
        <v>74</v>
      </c>
      <c r="C35" s="49" t="s">
        <v>83</v>
      </c>
      <c r="D35" s="42"/>
      <c r="E35" s="51"/>
      <c r="F35" s="51"/>
      <c r="G35" s="51"/>
      <c r="H35" s="51"/>
      <c r="I35" s="42"/>
      <c r="J35" s="87"/>
      <c r="K35" s="95"/>
      <c r="L35" s="87"/>
      <c r="M35" s="95"/>
      <c r="N35" s="51"/>
      <c r="O35" s="89"/>
      <c r="P35" s="91"/>
      <c r="Q35" s="89"/>
      <c r="R35" s="116">
        <v>50.8</v>
      </c>
      <c r="S35" s="37">
        <f t="shared" si="11"/>
        <v>50.8</v>
      </c>
      <c r="T35" s="89">
        <v>-50.8</v>
      </c>
      <c r="U35" s="21">
        <f t="shared" si="7"/>
        <v>0</v>
      </c>
      <c r="V35" s="55"/>
      <c r="W35" s="111">
        <f t="shared" si="12"/>
        <v>0</v>
      </c>
      <c r="X35" s="109">
        <f t="shared" si="13"/>
        <v>0</v>
      </c>
      <c r="Y35" s="131"/>
      <c r="Z35" s="95"/>
      <c r="AA35" s="131">
        <f t="shared" si="29"/>
        <v>0</v>
      </c>
      <c r="AB35" s="134"/>
      <c r="AC35" s="137">
        <f t="shared" si="39"/>
        <v>0</v>
      </c>
      <c r="AD35" s="115"/>
      <c r="AE35" s="133">
        <f t="shared" si="9"/>
        <v>0</v>
      </c>
      <c r="AF35" s="95"/>
      <c r="AG35" s="134">
        <f t="shared" si="14"/>
        <v>0</v>
      </c>
      <c r="AH35" s="115"/>
      <c r="AI35" s="134">
        <f t="shared" si="10"/>
        <v>0</v>
      </c>
      <c r="AJ35" s="42">
        <v>25.4</v>
      </c>
      <c r="AK35" s="134">
        <f t="shared" si="15"/>
        <v>25.4</v>
      </c>
      <c r="AL35" s="55"/>
      <c r="AM35" s="134">
        <f t="shared" si="16"/>
        <v>25.4</v>
      </c>
      <c r="AN35" s="139"/>
      <c r="AO35" s="134">
        <f t="shared" si="17"/>
        <v>25.4</v>
      </c>
      <c r="AP35" s="149"/>
      <c r="AQ35" s="134">
        <f t="shared" si="37"/>
        <v>25.4</v>
      </c>
      <c r="AR35" s="42">
        <v>25.4</v>
      </c>
      <c r="AS35" s="42">
        <f t="shared" si="18"/>
        <v>0</v>
      </c>
      <c r="AT35" s="95"/>
      <c r="AU35" s="42">
        <f t="shared" si="19"/>
        <v>25.4</v>
      </c>
      <c r="AV35" s="42"/>
      <c r="AW35" s="87">
        <v>6.5</v>
      </c>
      <c r="AX35" s="87"/>
      <c r="AY35" s="109">
        <f t="shared" si="38"/>
        <v>6.5</v>
      </c>
      <c r="AZ35" s="40"/>
      <c r="BA35" s="105">
        <f t="shared" si="22"/>
        <v>6.5</v>
      </c>
    </row>
    <row r="36" ht="56.25" spans="1:53">
      <c r="A36" s="56" t="s">
        <v>54</v>
      </c>
      <c r="B36" s="55" t="s">
        <v>74</v>
      </c>
      <c r="C36" s="61" t="s">
        <v>84</v>
      </c>
      <c r="D36" s="42">
        <v>426.9</v>
      </c>
      <c r="E36" s="51">
        <v>696.3</v>
      </c>
      <c r="F36" s="51">
        <v>566.1</v>
      </c>
      <c r="G36" s="51">
        <v>130.2</v>
      </c>
      <c r="H36" s="51">
        <f t="shared" si="36"/>
        <v>696.3</v>
      </c>
      <c r="I36" s="42">
        <v>348.7</v>
      </c>
      <c r="J36" s="87">
        <f t="shared" ref="J36:J41" si="40">SUM(H36,I36)</f>
        <v>1045</v>
      </c>
      <c r="K36" s="95"/>
      <c r="L36" s="87">
        <f t="shared" ref="L36:L41" si="41">SUM(J36,K36)</f>
        <v>1045</v>
      </c>
      <c r="M36" s="95"/>
      <c r="N36" s="51">
        <v>-314.9</v>
      </c>
      <c r="O36" s="89">
        <v>730.1</v>
      </c>
      <c r="P36" s="91">
        <v>-169.199</v>
      </c>
      <c r="Q36" s="89">
        <f t="shared" si="6"/>
        <v>560.901</v>
      </c>
      <c r="R36" s="89">
        <v>1661.2</v>
      </c>
      <c r="S36" s="37">
        <f t="shared" si="11"/>
        <v>1100.299</v>
      </c>
      <c r="T36" s="115"/>
      <c r="U36" s="89">
        <f t="shared" si="7"/>
        <v>1661.2</v>
      </c>
      <c r="V36" s="55"/>
      <c r="W36" s="111">
        <v>700.7</v>
      </c>
      <c r="X36" s="109">
        <f t="shared" si="13"/>
        <v>0</v>
      </c>
      <c r="Y36" s="131">
        <v>700.7</v>
      </c>
      <c r="Z36" s="95"/>
      <c r="AA36" s="131">
        <f t="shared" si="29"/>
        <v>700.7</v>
      </c>
      <c r="AB36" s="134"/>
      <c r="AC36" s="137">
        <f t="shared" si="39"/>
        <v>700.7</v>
      </c>
      <c r="AD36" s="115"/>
      <c r="AE36" s="133">
        <f t="shared" si="9"/>
        <v>700.7</v>
      </c>
      <c r="AF36" s="95"/>
      <c r="AG36" s="134">
        <f t="shared" si="14"/>
        <v>700.7</v>
      </c>
      <c r="AH36" s="115"/>
      <c r="AI36" s="134">
        <f t="shared" si="10"/>
        <v>700.7</v>
      </c>
      <c r="AJ36" s="139"/>
      <c r="AK36" s="134">
        <f t="shared" si="15"/>
        <v>700.7</v>
      </c>
      <c r="AL36" s="55"/>
      <c r="AM36" s="134">
        <f t="shared" si="16"/>
        <v>700.7</v>
      </c>
      <c r="AN36" s="42">
        <v>1117.2</v>
      </c>
      <c r="AO36" s="134">
        <f t="shared" si="17"/>
        <v>1817.9</v>
      </c>
      <c r="AP36" s="149"/>
      <c r="AQ36" s="134">
        <f t="shared" si="37"/>
        <v>1817.9</v>
      </c>
      <c r="AR36" s="42">
        <v>2132.8</v>
      </c>
      <c r="AS36" s="42">
        <f t="shared" si="18"/>
        <v>314.9</v>
      </c>
      <c r="AT36" s="95"/>
      <c r="AU36" s="42">
        <f t="shared" si="19"/>
        <v>2132.8</v>
      </c>
      <c r="AV36" s="42"/>
      <c r="AW36" s="87">
        <f t="shared" si="28"/>
        <v>2132.8</v>
      </c>
      <c r="AX36" s="87">
        <v>-218.1</v>
      </c>
      <c r="AY36" s="109">
        <f t="shared" si="38"/>
        <v>1914.7</v>
      </c>
      <c r="AZ36" s="81">
        <v>158.7</v>
      </c>
      <c r="BA36" s="105">
        <f t="shared" si="22"/>
        <v>2073.4</v>
      </c>
    </row>
    <row r="37" ht="32.25" customHeight="1" spans="1:53">
      <c r="A37" s="56" t="s">
        <v>54</v>
      </c>
      <c r="B37" s="55" t="s">
        <v>74</v>
      </c>
      <c r="C37" s="61" t="s">
        <v>85</v>
      </c>
      <c r="D37" s="42">
        <v>87.9</v>
      </c>
      <c r="E37" s="51">
        <v>87.9</v>
      </c>
      <c r="F37" s="51">
        <v>72</v>
      </c>
      <c r="G37" s="51"/>
      <c r="H37" s="51">
        <f t="shared" si="36"/>
        <v>72</v>
      </c>
      <c r="I37" s="42">
        <v>33.9</v>
      </c>
      <c r="J37" s="87">
        <f t="shared" si="40"/>
        <v>105.9</v>
      </c>
      <c r="K37" s="95"/>
      <c r="L37" s="87">
        <f t="shared" si="41"/>
        <v>105.9</v>
      </c>
      <c r="M37" s="95"/>
      <c r="N37" s="51">
        <v>6.7</v>
      </c>
      <c r="O37" s="89">
        <v>112.6</v>
      </c>
      <c r="P37" s="91"/>
      <c r="Q37" s="89">
        <f t="shared" si="6"/>
        <v>112.6</v>
      </c>
      <c r="R37" s="89">
        <v>112.6</v>
      </c>
      <c r="S37" s="37">
        <f t="shared" si="11"/>
        <v>0</v>
      </c>
      <c r="T37" s="89">
        <v>6.1</v>
      </c>
      <c r="U37" s="89">
        <f t="shared" si="7"/>
        <v>118.7</v>
      </c>
      <c r="V37" s="55"/>
      <c r="W37" s="111">
        <v>118.7</v>
      </c>
      <c r="X37" s="109">
        <f t="shared" si="13"/>
        <v>0</v>
      </c>
      <c r="Y37" s="131">
        <v>118.7</v>
      </c>
      <c r="Z37" s="95"/>
      <c r="AA37" s="131">
        <f t="shared" si="29"/>
        <v>118.7</v>
      </c>
      <c r="AB37" s="134">
        <v>10.3</v>
      </c>
      <c r="AC37" s="137">
        <f t="shared" si="39"/>
        <v>129</v>
      </c>
      <c r="AD37" s="115"/>
      <c r="AE37" s="133">
        <f t="shared" si="9"/>
        <v>129</v>
      </c>
      <c r="AF37" s="95"/>
      <c r="AG37" s="134">
        <f t="shared" si="14"/>
        <v>129</v>
      </c>
      <c r="AH37" s="115"/>
      <c r="AI37" s="134">
        <f t="shared" si="10"/>
        <v>129</v>
      </c>
      <c r="AJ37" s="139"/>
      <c r="AK37" s="134">
        <f t="shared" si="15"/>
        <v>129</v>
      </c>
      <c r="AL37" s="42">
        <v>7.5</v>
      </c>
      <c r="AM37" s="134">
        <f t="shared" si="16"/>
        <v>136.5</v>
      </c>
      <c r="AN37" s="139"/>
      <c r="AO37" s="134">
        <f t="shared" si="17"/>
        <v>136.5</v>
      </c>
      <c r="AP37" s="149"/>
      <c r="AQ37" s="134">
        <f t="shared" si="37"/>
        <v>136.5</v>
      </c>
      <c r="AR37" s="42">
        <v>141.9</v>
      </c>
      <c r="AS37" s="42">
        <f t="shared" si="18"/>
        <v>5.40000000000001</v>
      </c>
      <c r="AT37" s="95"/>
      <c r="AU37" s="42">
        <f t="shared" si="19"/>
        <v>141.9</v>
      </c>
      <c r="AV37" s="42"/>
      <c r="AW37" s="87">
        <v>151.1</v>
      </c>
      <c r="AX37" s="87"/>
      <c r="AY37" s="109">
        <f t="shared" si="38"/>
        <v>151.1</v>
      </c>
      <c r="AZ37" s="40"/>
      <c r="BA37" s="105">
        <f t="shared" si="22"/>
        <v>151.1</v>
      </c>
    </row>
    <row r="38" ht="62.25" customHeight="1" spans="1:53">
      <c r="A38" s="56" t="s">
        <v>54</v>
      </c>
      <c r="B38" s="55" t="s">
        <v>74</v>
      </c>
      <c r="C38" s="49" t="s">
        <v>86</v>
      </c>
      <c r="D38" s="42">
        <v>5217</v>
      </c>
      <c r="E38" s="51">
        <v>6132.9</v>
      </c>
      <c r="F38" s="51"/>
      <c r="G38" s="51"/>
      <c r="H38" s="51">
        <f t="shared" si="36"/>
        <v>0</v>
      </c>
      <c r="I38" s="42">
        <v>3808.9</v>
      </c>
      <c r="J38" s="87">
        <f t="shared" si="40"/>
        <v>3808.9</v>
      </c>
      <c r="K38" s="95"/>
      <c r="L38" s="87">
        <f t="shared" si="41"/>
        <v>3808.9</v>
      </c>
      <c r="M38" s="95"/>
      <c r="N38" s="51"/>
      <c r="O38" s="89">
        <v>4063.4</v>
      </c>
      <c r="P38" s="91">
        <v>1212.7</v>
      </c>
      <c r="Q38" s="89">
        <f t="shared" si="6"/>
        <v>5276.1</v>
      </c>
      <c r="R38" s="89">
        <v>6069.4</v>
      </c>
      <c r="S38" s="37">
        <f t="shared" si="11"/>
        <v>793.299999999999</v>
      </c>
      <c r="T38" s="89">
        <v>0</v>
      </c>
      <c r="U38" s="89">
        <f t="shared" si="7"/>
        <v>6069.4</v>
      </c>
      <c r="V38" s="91">
        <v>889.5</v>
      </c>
      <c r="W38" s="111">
        <v>6958.9</v>
      </c>
      <c r="X38" s="109">
        <f t="shared" si="13"/>
        <v>0</v>
      </c>
      <c r="Y38" s="131">
        <v>6958.9</v>
      </c>
      <c r="Z38" s="95"/>
      <c r="AA38" s="131">
        <f t="shared" si="29"/>
        <v>6958.9</v>
      </c>
      <c r="AB38" s="134"/>
      <c r="AC38" s="137">
        <f t="shared" si="39"/>
        <v>6958.9</v>
      </c>
      <c r="AD38" s="115"/>
      <c r="AE38" s="133">
        <f t="shared" si="9"/>
        <v>6958.9</v>
      </c>
      <c r="AF38" s="95"/>
      <c r="AG38" s="134">
        <f t="shared" si="14"/>
        <v>6958.9</v>
      </c>
      <c r="AH38" s="115"/>
      <c r="AI38" s="134">
        <f t="shared" si="10"/>
        <v>6958.9</v>
      </c>
      <c r="AJ38" s="139"/>
      <c r="AK38" s="134">
        <f t="shared" si="15"/>
        <v>6958.9</v>
      </c>
      <c r="AL38" s="42">
        <v>1681.7</v>
      </c>
      <c r="AM38" s="134">
        <f t="shared" si="16"/>
        <v>8640.6</v>
      </c>
      <c r="AN38" s="139"/>
      <c r="AO38" s="134">
        <f t="shared" si="17"/>
        <v>8640.6</v>
      </c>
      <c r="AP38" s="149"/>
      <c r="AQ38" s="134">
        <f t="shared" si="37"/>
        <v>8640.6</v>
      </c>
      <c r="AR38" s="42">
        <v>6958.9</v>
      </c>
      <c r="AS38" s="42">
        <f t="shared" si="18"/>
        <v>-1681.7</v>
      </c>
      <c r="AT38" s="95"/>
      <c r="AU38" s="42">
        <f t="shared" si="19"/>
        <v>6958.9</v>
      </c>
      <c r="AV38" s="42"/>
      <c r="AW38" s="87">
        <f t="shared" si="28"/>
        <v>6958.9</v>
      </c>
      <c r="AX38" s="87"/>
      <c r="AY38" s="109">
        <f t="shared" si="38"/>
        <v>6958.9</v>
      </c>
      <c r="AZ38" s="40"/>
      <c r="BA38" s="105">
        <f t="shared" si="22"/>
        <v>6958.9</v>
      </c>
    </row>
    <row r="39" ht="59.25" customHeight="1" spans="1:53">
      <c r="A39" s="56" t="s">
        <v>54</v>
      </c>
      <c r="B39" s="55" t="s">
        <v>74</v>
      </c>
      <c r="C39" s="52" t="s">
        <v>87</v>
      </c>
      <c r="D39" s="42"/>
      <c r="E39" s="51">
        <v>3591.4</v>
      </c>
      <c r="F39" s="51"/>
      <c r="G39" s="51"/>
      <c r="H39" s="51">
        <f t="shared" si="36"/>
        <v>0</v>
      </c>
      <c r="I39" s="42">
        <v>24245.2</v>
      </c>
      <c r="J39" s="87">
        <f t="shared" si="40"/>
        <v>24245.2</v>
      </c>
      <c r="K39" s="95"/>
      <c r="L39" s="87">
        <f t="shared" si="41"/>
        <v>24245.2</v>
      </c>
      <c r="M39" s="95"/>
      <c r="N39" s="51">
        <v>1827</v>
      </c>
      <c r="O39" s="89">
        <v>26072.2</v>
      </c>
      <c r="P39" s="91"/>
      <c r="Q39" s="89">
        <f t="shared" si="6"/>
        <v>26072.2</v>
      </c>
      <c r="R39" s="89">
        <v>27003</v>
      </c>
      <c r="S39" s="37">
        <f t="shared" si="11"/>
        <v>930.799999999999</v>
      </c>
      <c r="T39" s="89">
        <v>1473.7</v>
      </c>
      <c r="U39" s="89">
        <f t="shared" si="7"/>
        <v>28476.7</v>
      </c>
      <c r="V39" s="55"/>
      <c r="W39" s="111">
        <v>28476.7</v>
      </c>
      <c r="X39" s="109">
        <f t="shared" si="13"/>
        <v>3376.7</v>
      </c>
      <c r="Y39" s="131">
        <v>31853.4</v>
      </c>
      <c r="Z39" s="95"/>
      <c r="AA39" s="131">
        <f t="shared" si="29"/>
        <v>31853.4</v>
      </c>
      <c r="AB39" s="134">
        <v>2734.2</v>
      </c>
      <c r="AC39" s="137">
        <f t="shared" si="39"/>
        <v>34587.6</v>
      </c>
      <c r="AD39" s="115"/>
      <c r="AE39" s="133">
        <f t="shared" si="9"/>
        <v>34587.6</v>
      </c>
      <c r="AF39" s="95"/>
      <c r="AG39" s="134">
        <f t="shared" si="14"/>
        <v>34587.6</v>
      </c>
      <c r="AH39" s="115"/>
      <c r="AI39" s="134">
        <f t="shared" si="10"/>
        <v>34587.6</v>
      </c>
      <c r="AJ39" s="139"/>
      <c r="AK39" s="134">
        <f t="shared" si="15"/>
        <v>34587.6</v>
      </c>
      <c r="AL39" s="55"/>
      <c r="AM39" s="134">
        <f t="shared" si="16"/>
        <v>34587.6</v>
      </c>
      <c r="AN39" s="139"/>
      <c r="AO39" s="134">
        <f t="shared" si="17"/>
        <v>34587.6</v>
      </c>
      <c r="AP39" s="149"/>
      <c r="AQ39" s="134">
        <f t="shared" si="37"/>
        <v>34587.6</v>
      </c>
      <c r="AR39" s="42">
        <v>41874.3</v>
      </c>
      <c r="AS39" s="42">
        <f t="shared" si="18"/>
        <v>7286.7</v>
      </c>
      <c r="AT39" s="42">
        <v>2660.8</v>
      </c>
      <c r="AU39" s="42">
        <f t="shared" si="19"/>
        <v>44535.1</v>
      </c>
      <c r="AV39" s="42"/>
      <c r="AW39" s="87">
        <v>47342</v>
      </c>
      <c r="AX39" s="87"/>
      <c r="AY39" s="109">
        <f t="shared" si="38"/>
        <v>47342</v>
      </c>
      <c r="AZ39" s="40"/>
      <c r="BA39" s="105">
        <f t="shared" si="22"/>
        <v>47342</v>
      </c>
    </row>
    <row r="40" ht="49.5" customHeight="1" spans="1:53">
      <c r="A40" s="56" t="s">
        <v>54</v>
      </c>
      <c r="B40" s="55" t="s">
        <v>74</v>
      </c>
      <c r="C40" s="49" t="s">
        <v>88</v>
      </c>
      <c r="D40" s="42"/>
      <c r="E40" s="51">
        <v>0</v>
      </c>
      <c r="F40" s="51"/>
      <c r="G40" s="51">
        <v>152.9</v>
      </c>
      <c r="H40" s="51">
        <f t="shared" si="36"/>
        <v>152.9</v>
      </c>
      <c r="I40" s="42">
        <v>107.8</v>
      </c>
      <c r="J40" s="87">
        <f t="shared" si="40"/>
        <v>260.7</v>
      </c>
      <c r="K40" s="95"/>
      <c r="L40" s="87">
        <f t="shared" si="41"/>
        <v>260.7</v>
      </c>
      <c r="M40" s="95"/>
      <c r="N40" s="51"/>
      <c r="O40" s="89">
        <v>260.7</v>
      </c>
      <c r="P40" s="91">
        <v>-4.4</v>
      </c>
      <c r="Q40" s="89">
        <f t="shared" si="6"/>
        <v>256.3</v>
      </c>
      <c r="R40" s="89">
        <v>260.7</v>
      </c>
      <c r="S40" s="37">
        <f t="shared" si="11"/>
        <v>4.39999999999998</v>
      </c>
      <c r="T40" s="115"/>
      <c r="U40" s="89">
        <f t="shared" si="7"/>
        <v>260.7</v>
      </c>
      <c r="V40" s="55"/>
      <c r="W40" s="111">
        <v>310</v>
      </c>
      <c r="X40" s="109">
        <f t="shared" si="13"/>
        <v>0</v>
      </c>
      <c r="Y40" s="131">
        <v>310</v>
      </c>
      <c r="Z40" s="95"/>
      <c r="AA40" s="131">
        <f t="shared" si="29"/>
        <v>310</v>
      </c>
      <c r="AB40" s="134"/>
      <c r="AC40" s="137">
        <f t="shared" si="39"/>
        <v>310</v>
      </c>
      <c r="AD40" s="115"/>
      <c r="AE40" s="133">
        <f t="shared" si="9"/>
        <v>310</v>
      </c>
      <c r="AF40" s="95"/>
      <c r="AG40" s="134">
        <f t="shared" si="14"/>
        <v>310</v>
      </c>
      <c r="AH40" s="115"/>
      <c r="AI40" s="134">
        <f t="shared" si="10"/>
        <v>310</v>
      </c>
      <c r="AJ40" s="139"/>
      <c r="AK40" s="134">
        <f t="shared" si="15"/>
        <v>310</v>
      </c>
      <c r="AL40" s="55"/>
      <c r="AM40" s="134">
        <f t="shared" si="16"/>
        <v>310</v>
      </c>
      <c r="AN40" s="42">
        <v>-235.6</v>
      </c>
      <c r="AO40" s="134">
        <f t="shared" si="17"/>
        <v>74.4</v>
      </c>
      <c r="AP40" s="149"/>
      <c r="AQ40" s="134">
        <f t="shared" si="37"/>
        <v>74.4</v>
      </c>
      <c r="AR40" s="42">
        <v>310</v>
      </c>
      <c r="AS40" s="42">
        <f t="shared" si="18"/>
        <v>235.6</v>
      </c>
      <c r="AT40" s="95"/>
      <c r="AU40" s="42">
        <f t="shared" si="19"/>
        <v>310</v>
      </c>
      <c r="AV40" s="42"/>
      <c r="AW40" s="87">
        <f t="shared" si="28"/>
        <v>310</v>
      </c>
      <c r="AX40" s="87"/>
      <c r="AY40" s="109">
        <f t="shared" si="38"/>
        <v>310</v>
      </c>
      <c r="AZ40" s="40"/>
      <c r="BA40" s="105">
        <f t="shared" si="22"/>
        <v>310</v>
      </c>
    </row>
    <row r="41" ht="0.75" customHeight="1" spans="1:53">
      <c r="A41" s="56" t="s">
        <v>54</v>
      </c>
      <c r="B41" s="55" t="s">
        <v>74</v>
      </c>
      <c r="C41" s="49" t="s">
        <v>89</v>
      </c>
      <c r="D41" s="42"/>
      <c r="E41" s="51"/>
      <c r="F41" s="51"/>
      <c r="G41" s="51"/>
      <c r="H41" s="51">
        <f t="shared" si="36"/>
        <v>0</v>
      </c>
      <c r="I41" s="42">
        <v>462.3</v>
      </c>
      <c r="J41" s="87">
        <f t="shared" si="40"/>
        <v>462.3</v>
      </c>
      <c r="K41" s="95"/>
      <c r="L41" s="87">
        <f t="shared" si="41"/>
        <v>462.3</v>
      </c>
      <c r="M41" s="95"/>
      <c r="N41" s="51">
        <v>-115.4</v>
      </c>
      <c r="O41" s="89">
        <v>346.9</v>
      </c>
      <c r="P41" s="91">
        <v>289.7</v>
      </c>
      <c r="Q41" s="89">
        <f t="shared" si="6"/>
        <v>636.6</v>
      </c>
      <c r="R41" s="89"/>
      <c r="S41" s="37">
        <f t="shared" si="11"/>
        <v>-636.6</v>
      </c>
      <c r="T41" s="115"/>
      <c r="U41" s="89">
        <f t="shared" si="7"/>
        <v>0</v>
      </c>
      <c r="V41" s="55"/>
      <c r="W41" s="111">
        <f t="shared" si="12"/>
        <v>0</v>
      </c>
      <c r="X41" s="109">
        <f t="shared" si="13"/>
        <v>0</v>
      </c>
      <c r="Y41" s="131"/>
      <c r="Z41" s="95"/>
      <c r="AA41" s="131">
        <f t="shared" si="29"/>
        <v>0</v>
      </c>
      <c r="AB41" s="134"/>
      <c r="AC41" s="137">
        <f t="shared" si="39"/>
        <v>0</v>
      </c>
      <c r="AD41" s="115"/>
      <c r="AE41" s="133">
        <f t="shared" si="9"/>
        <v>0</v>
      </c>
      <c r="AF41" s="95"/>
      <c r="AG41" s="134">
        <f t="shared" si="14"/>
        <v>0</v>
      </c>
      <c r="AH41" s="115"/>
      <c r="AI41" s="134">
        <f t="shared" si="10"/>
        <v>0</v>
      </c>
      <c r="AJ41" s="139"/>
      <c r="AK41" s="134">
        <f t="shared" si="15"/>
        <v>0</v>
      </c>
      <c r="AL41" s="55"/>
      <c r="AM41" s="134">
        <f t="shared" si="16"/>
        <v>0</v>
      </c>
      <c r="AN41" s="139"/>
      <c r="AO41" s="134">
        <f t="shared" si="17"/>
        <v>0</v>
      </c>
      <c r="AP41" s="149"/>
      <c r="AQ41" s="134">
        <f t="shared" si="37"/>
        <v>0</v>
      </c>
      <c r="AR41" s="42"/>
      <c r="AS41" s="42">
        <f t="shared" si="18"/>
        <v>0</v>
      </c>
      <c r="AT41" s="95"/>
      <c r="AU41" s="42">
        <f t="shared" si="19"/>
        <v>0</v>
      </c>
      <c r="AV41" s="42"/>
      <c r="AW41" s="87">
        <f t="shared" si="28"/>
        <v>0</v>
      </c>
      <c r="AX41" s="87"/>
      <c r="AY41" s="109">
        <f t="shared" si="38"/>
        <v>0</v>
      </c>
      <c r="AZ41" s="40"/>
      <c r="BA41" s="105">
        <f t="shared" si="22"/>
        <v>0</v>
      </c>
    </row>
    <row r="42" ht="37.5" hidden="1" spans="1:53">
      <c r="A42" s="56" t="s">
        <v>54</v>
      </c>
      <c r="B42" s="55" t="s">
        <v>90</v>
      </c>
      <c r="C42" s="49" t="s">
        <v>91</v>
      </c>
      <c r="D42" s="42"/>
      <c r="E42" s="51"/>
      <c r="F42" s="51"/>
      <c r="G42" s="51"/>
      <c r="H42" s="51"/>
      <c r="I42" s="42"/>
      <c r="J42" s="87"/>
      <c r="K42" s="95"/>
      <c r="L42" s="87"/>
      <c r="M42" s="95"/>
      <c r="N42" s="51">
        <v>5000</v>
      </c>
      <c r="O42" s="89">
        <v>5000</v>
      </c>
      <c r="P42" s="91"/>
      <c r="Q42" s="89">
        <f t="shared" si="6"/>
        <v>5000</v>
      </c>
      <c r="R42" s="89"/>
      <c r="S42" s="37">
        <f t="shared" si="11"/>
        <v>-5000</v>
      </c>
      <c r="T42" s="115"/>
      <c r="U42" s="89">
        <f t="shared" si="7"/>
        <v>0</v>
      </c>
      <c r="V42" s="55"/>
      <c r="W42" s="111">
        <f t="shared" si="12"/>
        <v>0</v>
      </c>
      <c r="X42" s="109">
        <f t="shared" si="13"/>
        <v>0</v>
      </c>
      <c r="Y42" s="131"/>
      <c r="Z42" s="95"/>
      <c r="AA42" s="131">
        <f t="shared" si="29"/>
        <v>0</v>
      </c>
      <c r="AB42" s="134"/>
      <c r="AC42" s="137">
        <f t="shared" si="39"/>
        <v>0</v>
      </c>
      <c r="AD42" s="115"/>
      <c r="AE42" s="133">
        <f t="shared" si="9"/>
        <v>0</v>
      </c>
      <c r="AF42" s="95"/>
      <c r="AG42" s="134">
        <f t="shared" si="14"/>
        <v>0</v>
      </c>
      <c r="AH42" s="115"/>
      <c r="AI42" s="134">
        <f t="shared" si="10"/>
        <v>0</v>
      </c>
      <c r="AJ42" s="139"/>
      <c r="AK42" s="134">
        <f t="shared" si="15"/>
        <v>0</v>
      </c>
      <c r="AL42" s="55"/>
      <c r="AM42" s="134">
        <f t="shared" si="16"/>
        <v>0</v>
      </c>
      <c r="AN42" s="139"/>
      <c r="AO42" s="134">
        <f t="shared" si="17"/>
        <v>0</v>
      </c>
      <c r="AP42" s="149"/>
      <c r="AQ42" s="134">
        <f t="shared" si="37"/>
        <v>0</v>
      </c>
      <c r="AR42" s="42"/>
      <c r="AS42" s="42">
        <f t="shared" si="18"/>
        <v>0</v>
      </c>
      <c r="AT42" s="95"/>
      <c r="AU42" s="42">
        <f t="shared" si="19"/>
        <v>0</v>
      </c>
      <c r="AV42" s="42"/>
      <c r="AW42" s="87">
        <f t="shared" si="28"/>
        <v>0</v>
      </c>
      <c r="AX42" s="87"/>
      <c r="AY42" s="109">
        <f t="shared" si="38"/>
        <v>0</v>
      </c>
      <c r="AZ42" s="40"/>
      <c r="BA42" s="105">
        <f t="shared" si="22"/>
        <v>0</v>
      </c>
    </row>
    <row r="43" ht="37.5" spans="1:53">
      <c r="A43" s="56" t="s">
        <v>57</v>
      </c>
      <c r="B43" s="55" t="s">
        <v>74</v>
      </c>
      <c r="C43" s="49" t="s">
        <v>92</v>
      </c>
      <c r="D43" s="42"/>
      <c r="E43" s="51"/>
      <c r="F43" s="51"/>
      <c r="G43" s="51"/>
      <c r="H43" s="51"/>
      <c r="I43" s="42"/>
      <c r="J43" s="87"/>
      <c r="K43" s="95"/>
      <c r="L43" s="87"/>
      <c r="M43" s="95"/>
      <c r="N43" s="51"/>
      <c r="O43" s="89"/>
      <c r="P43" s="91"/>
      <c r="Q43" s="89"/>
      <c r="R43" s="89"/>
      <c r="S43" s="37"/>
      <c r="T43" s="115"/>
      <c r="U43" s="89"/>
      <c r="V43" s="55"/>
      <c r="W43" s="111"/>
      <c r="X43" s="109"/>
      <c r="Y43" s="131"/>
      <c r="Z43" s="95"/>
      <c r="AA43" s="131"/>
      <c r="AB43" s="134"/>
      <c r="AC43" s="137"/>
      <c r="AD43" s="115"/>
      <c r="AE43" s="133"/>
      <c r="AF43" s="95"/>
      <c r="AG43" s="134"/>
      <c r="AH43" s="115"/>
      <c r="AI43" s="134"/>
      <c r="AJ43" s="139"/>
      <c r="AK43" s="134"/>
      <c r="AL43" s="55"/>
      <c r="AM43" s="134"/>
      <c r="AN43" s="139"/>
      <c r="AO43" s="134"/>
      <c r="AP43" s="149"/>
      <c r="AQ43" s="134"/>
      <c r="AR43" s="42"/>
      <c r="AS43" s="42"/>
      <c r="AT43" s="95"/>
      <c r="AU43" s="42"/>
      <c r="AV43" s="42"/>
      <c r="AW43" s="87">
        <v>0</v>
      </c>
      <c r="AX43" s="87">
        <v>101</v>
      </c>
      <c r="AY43" s="109">
        <f t="shared" si="38"/>
        <v>101</v>
      </c>
      <c r="AZ43" s="40"/>
      <c r="BA43" s="105">
        <f t="shared" si="22"/>
        <v>101</v>
      </c>
    </row>
    <row r="44" ht="48" customHeight="1" spans="1:53">
      <c r="A44" s="56" t="s">
        <v>57</v>
      </c>
      <c r="B44" s="55" t="s">
        <v>74</v>
      </c>
      <c r="C44" s="49" t="s">
        <v>93</v>
      </c>
      <c r="D44" s="42">
        <v>4948.3</v>
      </c>
      <c r="E44" s="51">
        <v>5725.6</v>
      </c>
      <c r="F44" s="51">
        <v>4654.9</v>
      </c>
      <c r="G44" s="51">
        <v>572.6</v>
      </c>
      <c r="H44" s="51">
        <f t="shared" si="36"/>
        <v>5227.5</v>
      </c>
      <c r="I44" s="42">
        <v>517.7</v>
      </c>
      <c r="J44" s="87">
        <f t="shared" ref="J44:J50" si="42">SUM(H44,I44)</f>
        <v>5745.2</v>
      </c>
      <c r="K44" s="95"/>
      <c r="L44" s="87">
        <f t="shared" ref="L44:L50" si="43">SUM(J44,K44)</f>
        <v>5745.2</v>
      </c>
      <c r="M44" s="95"/>
      <c r="N44" s="51"/>
      <c r="O44" s="89">
        <v>5745.2</v>
      </c>
      <c r="P44" s="91"/>
      <c r="Q44" s="89">
        <f t="shared" si="6"/>
        <v>5745.2</v>
      </c>
      <c r="R44" s="89">
        <v>6923.5</v>
      </c>
      <c r="S44" s="37">
        <f t="shared" si="11"/>
        <v>1178.3</v>
      </c>
      <c r="T44" s="89">
        <v>0</v>
      </c>
      <c r="U44" s="89">
        <f t="shared" si="7"/>
        <v>6923.5</v>
      </c>
      <c r="V44" s="91">
        <v>1505</v>
      </c>
      <c r="W44" s="111">
        <v>8428.5</v>
      </c>
      <c r="X44" s="109">
        <f t="shared" si="13"/>
        <v>0</v>
      </c>
      <c r="Y44" s="131">
        <v>8428.5</v>
      </c>
      <c r="Z44" s="95"/>
      <c r="AA44" s="131">
        <f t="shared" si="29"/>
        <v>8428.5</v>
      </c>
      <c r="AB44" s="134"/>
      <c r="AC44" s="137">
        <f t="shared" si="39"/>
        <v>8428.5</v>
      </c>
      <c r="AD44" s="115"/>
      <c r="AE44" s="133">
        <f t="shared" si="9"/>
        <v>8428.5</v>
      </c>
      <c r="AF44" s="95"/>
      <c r="AG44" s="134">
        <f t="shared" si="14"/>
        <v>8428.5</v>
      </c>
      <c r="AH44" s="115"/>
      <c r="AI44" s="134">
        <f t="shared" si="10"/>
        <v>8428.5</v>
      </c>
      <c r="AJ44" s="139"/>
      <c r="AK44" s="134">
        <f t="shared" si="15"/>
        <v>8428.5</v>
      </c>
      <c r="AL44" s="141"/>
      <c r="AM44" s="134">
        <f t="shared" si="16"/>
        <v>8428.5</v>
      </c>
      <c r="AN44" s="139"/>
      <c r="AO44" s="134">
        <f t="shared" si="17"/>
        <v>8428.5</v>
      </c>
      <c r="AP44" s="149"/>
      <c r="AQ44" s="134">
        <f t="shared" si="37"/>
        <v>8428.5</v>
      </c>
      <c r="AR44" s="42">
        <v>8428.5</v>
      </c>
      <c r="AS44" s="42">
        <f t="shared" si="18"/>
        <v>0</v>
      </c>
      <c r="AT44" s="95"/>
      <c r="AU44" s="42">
        <f t="shared" si="19"/>
        <v>8428.5</v>
      </c>
      <c r="AV44" s="42"/>
      <c r="AW44" s="87">
        <v>12104.3</v>
      </c>
      <c r="AX44" s="87"/>
      <c r="AY44" s="109">
        <f t="shared" si="38"/>
        <v>12104.3</v>
      </c>
      <c r="AZ44" s="40"/>
      <c r="BA44" s="105">
        <f t="shared" si="22"/>
        <v>12104.3</v>
      </c>
    </row>
    <row r="45" ht="91.5" customHeight="1" spans="1:55">
      <c r="A45" s="56" t="s">
        <v>57</v>
      </c>
      <c r="B45" s="55" t="s">
        <v>74</v>
      </c>
      <c r="C45" s="49" t="s">
        <v>94</v>
      </c>
      <c r="D45" s="42">
        <v>3718.6</v>
      </c>
      <c r="E45" s="51">
        <v>4348.7</v>
      </c>
      <c r="F45" s="51">
        <v>3535.5</v>
      </c>
      <c r="G45" s="51">
        <v>434.9</v>
      </c>
      <c r="H45" s="51">
        <f t="shared" si="36"/>
        <v>3970.4</v>
      </c>
      <c r="I45" s="42">
        <v>354</v>
      </c>
      <c r="J45" s="87">
        <f t="shared" si="42"/>
        <v>4324.4</v>
      </c>
      <c r="K45" s="95"/>
      <c r="L45" s="87">
        <f t="shared" si="43"/>
        <v>4324.4</v>
      </c>
      <c r="M45" s="95"/>
      <c r="N45" s="51"/>
      <c r="O45" s="89">
        <v>4324.4</v>
      </c>
      <c r="P45" s="91"/>
      <c r="Q45" s="89">
        <f t="shared" si="6"/>
        <v>4324.4</v>
      </c>
      <c r="R45" s="89">
        <v>4250.7</v>
      </c>
      <c r="S45" s="37">
        <f t="shared" si="11"/>
        <v>-73.6999999999998</v>
      </c>
      <c r="T45" s="89">
        <v>0</v>
      </c>
      <c r="U45" s="89">
        <f t="shared" si="7"/>
        <v>4250.7</v>
      </c>
      <c r="V45" s="91">
        <v>1714.2</v>
      </c>
      <c r="W45" s="111">
        <v>5964.9</v>
      </c>
      <c r="X45" s="109">
        <f t="shared" si="13"/>
        <v>0</v>
      </c>
      <c r="Y45" s="131">
        <v>5964.9</v>
      </c>
      <c r="Z45" s="95"/>
      <c r="AA45" s="131">
        <f t="shared" si="29"/>
        <v>5964.9</v>
      </c>
      <c r="AB45" s="134"/>
      <c r="AC45" s="137">
        <f t="shared" si="39"/>
        <v>5964.9</v>
      </c>
      <c r="AD45" s="115"/>
      <c r="AE45" s="133">
        <f t="shared" si="9"/>
        <v>5964.9</v>
      </c>
      <c r="AF45" s="95"/>
      <c r="AG45" s="134">
        <f t="shared" si="14"/>
        <v>5964.9</v>
      </c>
      <c r="AH45" s="115"/>
      <c r="AI45" s="134">
        <f t="shared" si="10"/>
        <v>5964.9</v>
      </c>
      <c r="AJ45" s="139"/>
      <c r="AK45" s="134">
        <f t="shared" si="15"/>
        <v>5964.9</v>
      </c>
      <c r="AL45" s="141"/>
      <c r="AM45" s="134">
        <f t="shared" si="16"/>
        <v>5964.9</v>
      </c>
      <c r="AN45" s="139"/>
      <c r="AO45" s="134">
        <f t="shared" si="17"/>
        <v>5964.9</v>
      </c>
      <c r="AP45" s="149"/>
      <c r="AQ45" s="134">
        <f t="shared" si="37"/>
        <v>5964.9</v>
      </c>
      <c r="AR45" s="42">
        <v>5964.9</v>
      </c>
      <c r="AS45" s="42">
        <f t="shared" si="18"/>
        <v>0</v>
      </c>
      <c r="AT45" s="95"/>
      <c r="AU45" s="42">
        <f t="shared" si="19"/>
        <v>5964.9</v>
      </c>
      <c r="AV45" s="42"/>
      <c r="AW45" s="87">
        <v>6037.4</v>
      </c>
      <c r="AX45" s="87"/>
      <c r="AY45" s="109">
        <f t="shared" si="38"/>
        <v>6037.4</v>
      </c>
      <c r="AZ45" s="55"/>
      <c r="BA45" s="105">
        <f t="shared" si="22"/>
        <v>6037.4</v>
      </c>
      <c r="BB45" s="156"/>
      <c r="BC45" s="156"/>
    </row>
    <row r="46" ht="37.5" spans="1:53">
      <c r="A46" s="34" t="s">
        <v>64</v>
      </c>
      <c r="B46" s="55" t="s">
        <v>74</v>
      </c>
      <c r="C46" s="49" t="s">
        <v>95</v>
      </c>
      <c r="D46" s="42">
        <v>84154.6</v>
      </c>
      <c r="E46" s="51">
        <v>29574.77625</v>
      </c>
      <c r="F46" s="51">
        <v>100539.1</v>
      </c>
      <c r="G46" s="51"/>
      <c r="H46" s="51">
        <f t="shared" si="36"/>
        <v>100539.1</v>
      </c>
      <c r="I46" s="42">
        <v>-10539.1</v>
      </c>
      <c r="J46" s="87">
        <f t="shared" si="42"/>
        <v>90000</v>
      </c>
      <c r="K46" s="95"/>
      <c r="L46" s="87">
        <f t="shared" si="43"/>
        <v>90000</v>
      </c>
      <c r="M46" s="95"/>
      <c r="N46" s="51">
        <v>539.1</v>
      </c>
      <c r="O46" s="89">
        <v>90539.1</v>
      </c>
      <c r="P46" s="91"/>
      <c r="Q46" s="89">
        <f t="shared" si="6"/>
        <v>90539.1</v>
      </c>
      <c r="R46" s="89">
        <v>67266</v>
      </c>
      <c r="S46" s="37">
        <f t="shared" si="11"/>
        <v>-23273.1</v>
      </c>
      <c r="T46" s="115"/>
      <c r="U46" s="89">
        <v>66726.9</v>
      </c>
      <c r="V46" s="112"/>
      <c r="W46" s="111">
        <v>452.3</v>
      </c>
      <c r="X46" s="109">
        <f t="shared" si="13"/>
        <v>0</v>
      </c>
      <c r="Y46" s="131">
        <v>452.3</v>
      </c>
      <c r="Z46" s="95"/>
      <c r="AA46" s="131">
        <f t="shared" si="29"/>
        <v>452.3</v>
      </c>
      <c r="AB46" s="134"/>
      <c r="AC46" s="137">
        <f t="shared" si="39"/>
        <v>452.3</v>
      </c>
      <c r="AD46" s="115"/>
      <c r="AE46" s="133">
        <f t="shared" si="9"/>
        <v>452.3</v>
      </c>
      <c r="AF46" s="95"/>
      <c r="AG46" s="134">
        <f t="shared" si="14"/>
        <v>452.3</v>
      </c>
      <c r="AH46" s="115"/>
      <c r="AI46" s="134">
        <f t="shared" si="10"/>
        <v>452.3</v>
      </c>
      <c r="AJ46" s="139"/>
      <c r="AK46" s="134">
        <f t="shared" si="15"/>
        <v>452.3</v>
      </c>
      <c r="AL46" s="55"/>
      <c r="AM46" s="134">
        <f t="shared" si="16"/>
        <v>452.3</v>
      </c>
      <c r="AN46" s="139"/>
      <c r="AO46" s="134">
        <f t="shared" si="17"/>
        <v>452.3</v>
      </c>
      <c r="AP46" s="149"/>
      <c r="AQ46" s="134">
        <f t="shared" si="37"/>
        <v>452.3</v>
      </c>
      <c r="AR46" s="42">
        <v>452.3</v>
      </c>
      <c r="AS46" s="42">
        <f t="shared" si="18"/>
        <v>0</v>
      </c>
      <c r="AT46" s="95"/>
      <c r="AU46" s="42">
        <f t="shared" si="19"/>
        <v>452.3</v>
      </c>
      <c r="AV46" s="42"/>
      <c r="AW46" s="87">
        <f t="shared" si="28"/>
        <v>452.3</v>
      </c>
      <c r="AX46" s="87"/>
      <c r="AY46" s="109">
        <f t="shared" si="38"/>
        <v>452.3</v>
      </c>
      <c r="AZ46" s="40"/>
      <c r="BA46" s="105">
        <f t="shared" si="22"/>
        <v>452.3</v>
      </c>
    </row>
    <row r="47" ht="26.25" customHeight="1" spans="1:53">
      <c r="A47" s="34" t="s">
        <v>64</v>
      </c>
      <c r="B47" s="55" t="s">
        <v>74</v>
      </c>
      <c r="C47" s="62" t="s">
        <v>96</v>
      </c>
      <c r="D47" s="42"/>
      <c r="E47" s="51"/>
      <c r="F47" s="51"/>
      <c r="G47" s="51"/>
      <c r="H47" s="51"/>
      <c r="I47" s="42"/>
      <c r="J47" s="87"/>
      <c r="K47" s="95"/>
      <c r="L47" s="87"/>
      <c r="M47" s="95"/>
      <c r="N47" s="51"/>
      <c r="O47" s="89"/>
      <c r="P47" s="91"/>
      <c r="Q47" s="89"/>
      <c r="R47" s="89"/>
      <c r="S47" s="37"/>
      <c r="T47" s="115"/>
      <c r="U47" s="89"/>
      <c r="V47" s="112"/>
      <c r="W47" s="111"/>
      <c r="X47" s="109"/>
      <c r="Y47" s="131"/>
      <c r="Z47" s="95"/>
      <c r="AA47" s="131"/>
      <c r="AB47" s="134"/>
      <c r="AC47" s="137"/>
      <c r="AD47" s="115"/>
      <c r="AE47" s="133"/>
      <c r="AF47" s="95"/>
      <c r="AG47" s="134"/>
      <c r="AH47" s="115"/>
      <c r="AI47" s="134"/>
      <c r="AJ47" s="139"/>
      <c r="AK47" s="134"/>
      <c r="AL47" s="55"/>
      <c r="AM47" s="134"/>
      <c r="AN47" s="139"/>
      <c r="AO47" s="134"/>
      <c r="AP47" s="149"/>
      <c r="AQ47" s="134">
        <v>0</v>
      </c>
      <c r="AR47" s="42">
        <v>5225</v>
      </c>
      <c r="AS47" s="42">
        <f t="shared" si="18"/>
        <v>5225</v>
      </c>
      <c r="AT47" s="95"/>
      <c r="AU47" s="42">
        <f t="shared" si="19"/>
        <v>5225</v>
      </c>
      <c r="AV47" s="42"/>
      <c r="AW47" s="87">
        <v>6124.72</v>
      </c>
      <c r="AX47" s="87">
        <v>1410.474</v>
      </c>
      <c r="AY47" s="109">
        <f t="shared" si="38"/>
        <v>7535.194</v>
      </c>
      <c r="AZ47" s="40"/>
      <c r="BA47" s="105">
        <f t="shared" si="22"/>
        <v>7535.194</v>
      </c>
    </row>
    <row r="48" ht="1.5" customHeight="1" spans="1:53">
      <c r="A48" s="34" t="s">
        <v>64</v>
      </c>
      <c r="B48" s="55" t="s">
        <v>74</v>
      </c>
      <c r="C48" s="49" t="s">
        <v>97</v>
      </c>
      <c r="D48" s="42"/>
      <c r="E48" s="51">
        <v>0</v>
      </c>
      <c r="F48" s="51"/>
      <c r="G48" s="51"/>
      <c r="H48" s="51">
        <f t="shared" si="36"/>
        <v>0</v>
      </c>
      <c r="I48" s="42">
        <v>566.4</v>
      </c>
      <c r="J48" s="87">
        <f t="shared" si="42"/>
        <v>566.4</v>
      </c>
      <c r="K48" s="95"/>
      <c r="L48" s="87">
        <f t="shared" si="43"/>
        <v>566.4</v>
      </c>
      <c r="M48" s="95"/>
      <c r="N48" s="51"/>
      <c r="O48" s="89">
        <v>566.4</v>
      </c>
      <c r="P48" s="91"/>
      <c r="Q48" s="89">
        <f t="shared" si="6"/>
        <v>566.4</v>
      </c>
      <c r="R48" s="89"/>
      <c r="S48" s="37">
        <f t="shared" si="11"/>
        <v>-566.4</v>
      </c>
      <c r="T48" s="115"/>
      <c r="U48" s="89">
        <f t="shared" si="7"/>
        <v>0</v>
      </c>
      <c r="V48" s="55"/>
      <c r="W48" s="111">
        <f t="shared" ref="W48:W50" si="44">SUM(U48:V48)</f>
        <v>0</v>
      </c>
      <c r="X48" s="109">
        <f t="shared" si="13"/>
        <v>0</v>
      </c>
      <c r="Y48" s="131"/>
      <c r="Z48" s="95"/>
      <c r="AA48" s="131">
        <f t="shared" si="29"/>
        <v>0</v>
      </c>
      <c r="AB48" s="134"/>
      <c r="AC48" s="137">
        <f t="shared" si="39"/>
        <v>0</v>
      </c>
      <c r="AD48" s="115"/>
      <c r="AE48" s="133">
        <f t="shared" si="9"/>
        <v>0</v>
      </c>
      <c r="AF48" s="95"/>
      <c r="AG48" s="134">
        <f t="shared" si="14"/>
        <v>0</v>
      </c>
      <c r="AH48" s="115"/>
      <c r="AI48" s="134">
        <f t="shared" si="10"/>
        <v>0</v>
      </c>
      <c r="AJ48" s="139"/>
      <c r="AK48" s="134">
        <f t="shared" si="15"/>
        <v>0</v>
      </c>
      <c r="AL48" s="55"/>
      <c r="AM48" s="134">
        <f t="shared" si="16"/>
        <v>0</v>
      </c>
      <c r="AN48" s="139"/>
      <c r="AO48" s="134">
        <f t="shared" si="17"/>
        <v>0</v>
      </c>
      <c r="AP48" s="149"/>
      <c r="AQ48" s="134">
        <f t="shared" si="37"/>
        <v>0</v>
      </c>
      <c r="AR48" s="42"/>
      <c r="AS48" s="42">
        <f t="shared" si="18"/>
        <v>0</v>
      </c>
      <c r="AT48" s="95"/>
      <c r="AU48" s="42">
        <f t="shared" si="19"/>
        <v>0</v>
      </c>
      <c r="AV48" s="42"/>
      <c r="AW48" s="87">
        <f t="shared" si="28"/>
        <v>0</v>
      </c>
      <c r="AX48" s="87"/>
      <c r="AY48" s="109">
        <f t="shared" si="38"/>
        <v>0</v>
      </c>
      <c r="AZ48" s="40"/>
      <c r="BA48" s="105">
        <f t="shared" si="22"/>
        <v>0</v>
      </c>
    </row>
    <row r="49" s="3" customFormat="1" ht="45" customHeight="1" spans="1:53">
      <c r="A49" s="47" t="s">
        <v>64</v>
      </c>
      <c r="B49" s="55" t="s">
        <v>74</v>
      </c>
      <c r="C49" s="49" t="s">
        <v>98</v>
      </c>
      <c r="D49" s="63"/>
      <c r="E49" s="51"/>
      <c r="F49" s="51"/>
      <c r="G49" s="51"/>
      <c r="H49" s="51">
        <f t="shared" si="36"/>
        <v>0</v>
      </c>
      <c r="I49" s="42">
        <v>1863.9</v>
      </c>
      <c r="J49" s="87">
        <f t="shared" si="42"/>
        <v>1863.9</v>
      </c>
      <c r="K49" s="88"/>
      <c r="L49" s="87">
        <f t="shared" si="43"/>
        <v>1863.9</v>
      </c>
      <c r="M49" s="88"/>
      <c r="N49" s="37"/>
      <c r="O49" s="89">
        <v>1863.9</v>
      </c>
      <c r="P49" s="90"/>
      <c r="Q49" s="89">
        <f t="shared" si="6"/>
        <v>1863.9</v>
      </c>
      <c r="R49" s="89">
        <v>634.3</v>
      </c>
      <c r="S49" s="37">
        <f t="shared" si="11"/>
        <v>-1229.6</v>
      </c>
      <c r="T49" s="110"/>
      <c r="U49" s="89">
        <f t="shared" si="7"/>
        <v>634.3</v>
      </c>
      <c r="V49" s="108"/>
      <c r="W49" s="111">
        <v>987.2</v>
      </c>
      <c r="X49" s="109">
        <f t="shared" si="13"/>
        <v>0</v>
      </c>
      <c r="Y49" s="131">
        <v>987.2</v>
      </c>
      <c r="Z49" s="95">
        <v>-0.027</v>
      </c>
      <c r="AA49" s="131">
        <f t="shared" si="29"/>
        <v>987.173</v>
      </c>
      <c r="AB49" s="132"/>
      <c r="AC49" s="137">
        <f t="shared" si="39"/>
        <v>987.173</v>
      </c>
      <c r="AD49" s="110"/>
      <c r="AE49" s="133">
        <f t="shared" si="9"/>
        <v>987.173</v>
      </c>
      <c r="AF49" s="95"/>
      <c r="AG49" s="134">
        <f t="shared" si="14"/>
        <v>987.173</v>
      </c>
      <c r="AH49" s="110"/>
      <c r="AI49" s="134">
        <f t="shared" si="10"/>
        <v>987.173</v>
      </c>
      <c r="AJ49" s="140"/>
      <c r="AK49" s="134">
        <f t="shared" si="15"/>
        <v>987.173</v>
      </c>
      <c r="AL49" s="141"/>
      <c r="AM49" s="134">
        <f t="shared" si="16"/>
        <v>987.173</v>
      </c>
      <c r="AN49" s="140"/>
      <c r="AO49" s="134">
        <f t="shared" si="17"/>
        <v>987.173</v>
      </c>
      <c r="AP49" s="149"/>
      <c r="AQ49" s="134">
        <f t="shared" si="37"/>
        <v>987.173</v>
      </c>
      <c r="AR49" s="42">
        <v>987.2</v>
      </c>
      <c r="AS49" s="42">
        <f t="shared" si="18"/>
        <v>0.0270000000000437</v>
      </c>
      <c r="AT49" s="88"/>
      <c r="AU49" s="42">
        <f t="shared" si="19"/>
        <v>987.2</v>
      </c>
      <c r="AV49" s="42"/>
      <c r="AW49" s="87">
        <v>987.173</v>
      </c>
      <c r="AX49" s="87"/>
      <c r="AY49" s="109">
        <f t="shared" si="38"/>
        <v>987.173</v>
      </c>
      <c r="AZ49" s="35"/>
      <c r="BA49" s="105">
        <f t="shared" si="22"/>
        <v>987.173</v>
      </c>
    </row>
    <row r="50" s="3" customFormat="1" ht="0.75" hidden="1" customHeight="1" spans="1:53">
      <c r="A50" s="47" t="s">
        <v>64</v>
      </c>
      <c r="B50" s="55" t="s">
        <v>74</v>
      </c>
      <c r="C50" s="49" t="s">
        <v>99</v>
      </c>
      <c r="D50" s="63"/>
      <c r="E50" s="51"/>
      <c r="F50" s="51"/>
      <c r="G50" s="51"/>
      <c r="H50" s="51">
        <f t="shared" si="36"/>
        <v>0</v>
      </c>
      <c r="I50" s="42">
        <v>1738.5</v>
      </c>
      <c r="J50" s="87">
        <f t="shared" si="42"/>
        <v>1738.5</v>
      </c>
      <c r="K50" s="88"/>
      <c r="L50" s="87">
        <f t="shared" si="43"/>
        <v>1738.5</v>
      </c>
      <c r="M50" s="88"/>
      <c r="N50" s="37"/>
      <c r="O50" s="89">
        <v>1738.5</v>
      </c>
      <c r="P50" s="90"/>
      <c r="Q50" s="89">
        <f t="shared" si="6"/>
        <v>1738.5</v>
      </c>
      <c r="R50" s="89"/>
      <c r="S50" s="37">
        <f t="shared" si="11"/>
        <v>-1738.5</v>
      </c>
      <c r="T50" s="110"/>
      <c r="U50" s="89">
        <f t="shared" si="7"/>
        <v>0</v>
      </c>
      <c r="V50" s="108"/>
      <c r="W50" s="111">
        <f t="shared" si="44"/>
        <v>0</v>
      </c>
      <c r="X50" s="109">
        <f t="shared" si="13"/>
        <v>0</v>
      </c>
      <c r="Y50" s="121"/>
      <c r="Z50" s="95"/>
      <c r="AA50" s="131">
        <f t="shared" si="29"/>
        <v>0</v>
      </c>
      <c r="AB50" s="132"/>
      <c r="AC50" s="137">
        <f t="shared" si="39"/>
        <v>0</v>
      </c>
      <c r="AD50" s="110"/>
      <c r="AE50" s="133">
        <f t="shared" si="9"/>
        <v>0</v>
      </c>
      <c r="AF50" s="95"/>
      <c r="AG50" s="134">
        <f t="shared" si="14"/>
        <v>0</v>
      </c>
      <c r="AH50" s="110"/>
      <c r="AI50" s="134">
        <f t="shared" si="10"/>
        <v>0</v>
      </c>
      <c r="AJ50" s="140"/>
      <c r="AK50" s="134">
        <f t="shared" si="15"/>
        <v>0</v>
      </c>
      <c r="AL50" s="108"/>
      <c r="AM50" s="134">
        <f t="shared" si="16"/>
        <v>0</v>
      </c>
      <c r="AN50" s="140"/>
      <c r="AO50" s="134">
        <f t="shared" si="17"/>
        <v>0</v>
      </c>
      <c r="AP50" s="149"/>
      <c r="AQ50" s="134">
        <f t="shared" si="37"/>
        <v>0</v>
      </c>
      <c r="AR50" s="42"/>
      <c r="AS50" s="42">
        <f t="shared" si="18"/>
        <v>0</v>
      </c>
      <c r="AT50" s="88"/>
      <c r="AU50" s="42">
        <f t="shared" si="19"/>
        <v>0</v>
      </c>
      <c r="AV50" s="42"/>
      <c r="AW50" s="87">
        <f t="shared" si="28"/>
        <v>0</v>
      </c>
      <c r="AX50" s="87"/>
      <c r="AY50" s="109">
        <f t="shared" si="38"/>
        <v>0</v>
      </c>
      <c r="AZ50" s="35"/>
      <c r="BA50" s="105">
        <f t="shared" si="22"/>
        <v>0</v>
      </c>
    </row>
    <row r="51" hidden="1" spans="1:53">
      <c r="A51" s="64" t="s">
        <v>64</v>
      </c>
      <c r="B51" s="65" t="s">
        <v>74</v>
      </c>
      <c r="C51" s="66" t="s">
        <v>100</v>
      </c>
      <c r="D51" s="50"/>
      <c r="E51" s="51"/>
      <c r="F51" s="51"/>
      <c r="G51" s="51"/>
      <c r="H51" s="51"/>
      <c r="I51" s="42"/>
      <c r="J51" s="87"/>
      <c r="K51" s="42"/>
      <c r="L51" s="87"/>
      <c r="M51" s="88"/>
      <c r="N51" s="51"/>
      <c r="O51" s="89">
        <v>35955.829</v>
      </c>
      <c r="P51" s="90"/>
      <c r="Q51" s="89">
        <f t="shared" si="6"/>
        <v>35955.829</v>
      </c>
      <c r="R51" s="89"/>
      <c r="S51" s="37">
        <f t="shared" si="11"/>
        <v>-35955.829</v>
      </c>
      <c r="T51" s="110"/>
      <c r="U51" s="89">
        <f t="shared" si="7"/>
        <v>0</v>
      </c>
      <c r="V51" s="108"/>
      <c r="W51" s="111">
        <v>22658.4</v>
      </c>
      <c r="X51" s="109">
        <f t="shared" si="13"/>
        <v>0</v>
      </c>
      <c r="Y51" s="131">
        <v>22658.4</v>
      </c>
      <c r="Z51" s="95"/>
      <c r="AA51" s="131">
        <f t="shared" si="29"/>
        <v>22658.4</v>
      </c>
      <c r="AB51" s="134"/>
      <c r="AC51" s="137">
        <f t="shared" si="39"/>
        <v>22658.4</v>
      </c>
      <c r="AD51" s="115"/>
      <c r="AE51" s="133">
        <f t="shared" si="9"/>
        <v>22658.4</v>
      </c>
      <c r="AF51" s="95"/>
      <c r="AG51" s="134">
        <f t="shared" si="14"/>
        <v>22658.4</v>
      </c>
      <c r="AH51" s="115"/>
      <c r="AI51" s="134">
        <f t="shared" si="10"/>
        <v>22658.4</v>
      </c>
      <c r="AJ51" s="139"/>
      <c r="AK51" s="134">
        <f t="shared" si="15"/>
        <v>22658.4</v>
      </c>
      <c r="AL51" s="55"/>
      <c r="AM51" s="134">
        <f t="shared" si="16"/>
        <v>22658.4</v>
      </c>
      <c r="AN51" s="139"/>
      <c r="AO51" s="134">
        <f t="shared" si="17"/>
        <v>22658.4</v>
      </c>
      <c r="AP51" s="149"/>
      <c r="AQ51" s="134">
        <f t="shared" si="37"/>
        <v>22658.4</v>
      </c>
      <c r="AR51" s="42"/>
      <c r="AS51" s="42">
        <f t="shared" si="18"/>
        <v>-22658.4</v>
      </c>
      <c r="AT51" s="95"/>
      <c r="AU51" s="42">
        <f t="shared" si="19"/>
        <v>0</v>
      </c>
      <c r="AV51" s="42"/>
      <c r="AW51" s="87">
        <f t="shared" si="28"/>
        <v>0</v>
      </c>
      <c r="AX51" s="87"/>
      <c r="AY51" s="109">
        <f t="shared" si="38"/>
        <v>0</v>
      </c>
      <c r="AZ51" s="40"/>
      <c r="BA51" s="105">
        <f t="shared" si="22"/>
        <v>0</v>
      </c>
    </row>
    <row r="52" ht="35.25" customHeight="1" spans="1:53">
      <c r="A52" s="47" t="s">
        <v>64</v>
      </c>
      <c r="B52" s="55" t="s">
        <v>74</v>
      </c>
      <c r="C52" s="49" t="s">
        <v>101</v>
      </c>
      <c r="D52" s="50"/>
      <c r="E52" s="51"/>
      <c r="F52" s="51"/>
      <c r="G52" s="51"/>
      <c r="H52" s="51"/>
      <c r="I52" s="42"/>
      <c r="J52" s="87"/>
      <c r="K52" s="42"/>
      <c r="L52" s="42"/>
      <c r="M52" s="88"/>
      <c r="N52" s="37"/>
      <c r="O52" s="89"/>
      <c r="P52" s="90"/>
      <c r="Q52" s="89"/>
      <c r="R52" s="89"/>
      <c r="S52" s="37"/>
      <c r="T52" s="89"/>
      <c r="U52" s="89"/>
      <c r="V52" s="108"/>
      <c r="W52" s="111">
        <v>52.7</v>
      </c>
      <c r="X52" s="109">
        <f t="shared" si="13"/>
        <v>0</v>
      </c>
      <c r="Y52" s="131">
        <v>52.7</v>
      </c>
      <c r="Z52" s="95">
        <v>-0.038</v>
      </c>
      <c r="AA52" s="131">
        <f t="shared" si="29"/>
        <v>52.662</v>
      </c>
      <c r="AB52" s="134"/>
      <c r="AC52" s="137">
        <f t="shared" si="39"/>
        <v>52.662</v>
      </c>
      <c r="AD52" s="135">
        <v>-0.001</v>
      </c>
      <c r="AE52" s="133">
        <f t="shared" si="9"/>
        <v>52.661</v>
      </c>
      <c r="AF52" s="95"/>
      <c r="AG52" s="134">
        <f t="shared" si="14"/>
        <v>52.661</v>
      </c>
      <c r="AH52" s="115"/>
      <c r="AI52" s="134">
        <f t="shared" si="10"/>
        <v>52.661</v>
      </c>
      <c r="AJ52" s="139"/>
      <c r="AK52" s="134">
        <f t="shared" si="15"/>
        <v>52.661</v>
      </c>
      <c r="AL52" s="55"/>
      <c r="AM52" s="134">
        <f t="shared" si="16"/>
        <v>52.661</v>
      </c>
      <c r="AN52" s="139"/>
      <c r="AO52" s="134">
        <f t="shared" si="17"/>
        <v>52.661</v>
      </c>
      <c r="AP52" s="149"/>
      <c r="AQ52" s="134">
        <f t="shared" si="37"/>
        <v>52.661</v>
      </c>
      <c r="AR52" s="42">
        <v>129.8</v>
      </c>
      <c r="AS52" s="42">
        <f t="shared" si="18"/>
        <v>77.139</v>
      </c>
      <c r="AT52" s="95"/>
      <c r="AU52" s="42">
        <f t="shared" si="19"/>
        <v>129.8</v>
      </c>
      <c r="AV52" s="42"/>
      <c r="AW52" s="87">
        <v>129.7548</v>
      </c>
      <c r="AX52" s="87"/>
      <c r="AY52" s="109">
        <f t="shared" si="38"/>
        <v>129.7548</v>
      </c>
      <c r="AZ52" s="40"/>
      <c r="BA52" s="105">
        <f t="shared" si="22"/>
        <v>129.7548</v>
      </c>
    </row>
    <row r="53" ht="75" spans="1:53">
      <c r="A53" s="47" t="s">
        <v>64</v>
      </c>
      <c r="B53" s="55" t="s">
        <v>90</v>
      </c>
      <c r="C53" s="49" t="s">
        <v>102</v>
      </c>
      <c r="D53" s="42"/>
      <c r="E53" s="51"/>
      <c r="F53" s="51"/>
      <c r="G53" s="51"/>
      <c r="H53" s="51"/>
      <c r="I53" s="42"/>
      <c r="J53" s="87"/>
      <c r="K53" s="95"/>
      <c r="L53" s="87"/>
      <c r="M53" s="95"/>
      <c r="N53" s="51">
        <v>1070</v>
      </c>
      <c r="O53" s="89">
        <v>1070</v>
      </c>
      <c r="P53" s="91"/>
      <c r="Q53" s="89">
        <f>P53+O53</f>
        <v>1070</v>
      </c>
      <c r="R53" s="89">
        <v>1070</v>
      </c>
      <c r="S53" s="37">
        <f>R53-Q53</f>
        <v>0</v>
      </c>
      <c r="T53" s="115"/>
      <c r="U53" s="89">
        <f>R53+T53</f>
        <v>1070</v>
      </c>
      <c r="V53" s="55"/>
      <c r="W53" s="111">
        <v>1070</v>
      </c>
      <c r="X53" s="109">
        <f t="shared" si="13"/>
        <v>113</v>
      </c>
      <c r="Y53" s="131">
        <v>1183</v>
      </c>
      <c r="Z53" s="95"/>
      <c r="AA53" s="131">
        <f t="shared" si="29"/>
        <v>1183</v>
      </c>
      <c r="AB53" s="134">
        <v>1667</v>
      </c>
      <c r="AC53" s="137">
        <f t="shared" si="39"/>
        <v>2850</v>
      </c>
      <c r="AD53" s="115"/>
      <c r="AE53" s="133">
        <f t="shared" si="9"/>
        <v>2850</v>
      </c>
      <c r="AF53" s="95"/>
      <c r="AG53" s="134">
        <f t="shared" si="14"/>
        <v>2850</v>
      </c>
      <c r="AH53" s="115"/>
      <c r="AI53" s="134">
        <f t="shared" si="10"/>
        <v>2850</v>
      </c>
      <c r="AJ53" s="139"/>
      <c r="AK53" s="134">
        <f t="shared" si="15"/>
        <v>2850</v>
      </c>
      <c r="AL53" s="55"/>
      <c r="AM53" s="134">
        <f t="shared" si="16"/>
        <v>2850</v>
      </c>
      <c r="AN53" s="139"/>
      <c r="AO53" s="134">
        <f t="shared" si="17"/>
        <v>2850</v>
      </c>
      <c r="AP53" s="149"/>
      <c r="AQ53" s="134">
        <f t="shared" si="37"/>
        <v>2850</v>
      </c>
      <c r="AR53" s="42"/>
      <c r="AS53" s="42">
        <f t="shared" si="18"/>
        <v>-2850</v>
      </c>
      <c r="AT53" s="95"/>
      <c r="AU53" s="42">
        <f t="shared" si="19"/>
        <v>0</v>
      </c>
      <c r="AV53" s="42"/>
      <c r="AW53" s="87">
        <v>1427</v>
      </c>
      <c r="AX53" s="87"/>
      <c r="AY53" s="109">
        <f t="shared" si="38"/>
        <v>1427</v>
      </c>
      <c r="AZ53" s="40"/>
      <c r="BA53" s="105">
        <f t="shared" si="22"/>
        <v>1427</v>
      </c>
    </row>
    <row r="54" ht="37.5" spans="1:53">
      <c r="A54" s="47" t="s">
        <v>69</v>
      </c>
      <c r="B54" s="55" t="s">
        <v>74</v>
      </c>
      <c r="C54" s="49" t="s">
        <v>103</v>
      </c>
      <c r="D54" s="42"/>
      <c r="E54" s="51"/>
      <c r="F54" s="51"/>
      <c r="G54" s="51"/>
      <c r="H54" s="51"/>
      <c r="I54" s="42"/>
      <c r="J54" s="87"/>
      <c r="K54" s="95"/>
      <c r="L54" s="87"/>
      <c r="M54" s="95"/>
      <c r="N54" s="51"/>
      <c r="O54" s="89"/>
      <c r="P54" s="91"/>
      <c r="Q54" s="89"/>
      <c r="R54" s="89"/>
      <c r="S54" s="37"/>
      <c r="T54" s="115"/>
      <c r="U54" s="89"/>
      <c r="V54" s="55"/>
      <c r="W54" s="111"/>
      <c r="X54" s="109"/>
      <c r="Y54" s="131"/>
      <c r="Z54" s="95"/>
      <c r="AA54" s="131"/>
      <c r="AB54" s="134"/>
      <c r="AC54" s="137"/>
      <c r="AD54" s="115"/>
      <c r="AE54" s="133"/>
      <c r="AF54" s="95"/>
      <c r="AG54" s="134"/>
      <c r="AH54" s="115"/>
      <c r="AI54" s="134"/>
      <c r="AJ54" s="139"/>
      <c r="AK54" s="134"/>
      <c r="AL54" s="55"/>
      <c r="AM54" s="134"/>
      <c r="AN54" s="139"/>
      <c r="AO54" s="134"/>
      <c r="AP54" s="149"/>
      <c r="AQ54" s="134"/>
      <c r="AR54" s="42"/>
      <c r="AS54" s="42"/>
      <c r="AT54" s="95"/>
      <c r="AU54" s="42"/>
      <c r="AV54" s="42"/>
      <c r="AW54" s="87">
        <v>55.3</v>
      </c>
      <c r="AX54" s="87"/>
      <c r="AY54" s="109">
        <f t="shared" ref="AY54" si="45">SUM(AW54:AX54)</f>
        <v>55.3</v>
      </c>
      <c r="AZ54" s="40"/>
      <c r="BA54" s="105">
        <f t="shared" si="22"/>
        <v>55.3</v>
      </c>
    </row>
    <row r="55" ht="37.5" spans="1:53">
      <c r="A55" s="47" t="s">
        <v>69</v>
      </c>
      <c r="B55" s="55" t="s">
        <v>74</v>
      </c>
      <c r="C55" s="49" t="s">
        <v>104</v>
      </c>
      <c r="D55" s="42"/>
      <c r="E55" s="51"/>
      <c r="F55" s="51"/>
      <c r="G55" s="51"/>
      <c r="H55" s="51"/>
      <c r="I55" s="42"/>
      <c r="J55" s="87"/>
      <c r="K55" s="95"/>
      <c r="L55" s="87"/>
      <c r="M55" s="95"/>
      <c r="N55" s="51"/>
      <c r="O55" s="89"/>
      <c r="P55" s="91"/>
      <c r="Q55" s="89"/>
      <c r="R55" s="89"/>
      <c r="S55" s="37"/>
      <c r="T55" s="115"/>
      <c r="U55" s="89">
        <v>44</v>
      </c>
      <c r="V55" s="91">
        <v>56</v>
      </c>
      <c r="W55" s="111">
        <v>100</v>
      </c>
      <c r="X55" s="109">
        <f t="shared" si="13"/>
        <v>0</v>
      </c>
      <c r="Y55" s="131">
        <v>100</v>
      </c>
      <c r="Z55" s="95"/>
      <c r="AA55" s="131">
        <f t="shared" si="29"/>
        <v>100</v>
      </c>
      <c r="AB55" s="134"/>
      <c r="AC55" s="137">
        <f t="shared" si="39"/>
        <v>100</v>
      </c>
      <c r="AD55" s="115"/>
      <c r="AE55" s="133">
        <f t="shared" si="9"/>
        <v>100</v>
      </c>
      <c r="AF55" s="95"/>
      <c r="AG55" s="134">
        <f t="shared" si="14"/>
        <v>100</v>
      </c>
      <c r="AH55" s="115"/>
      <c r="AI55" s="134">
        <f t="shared" si="10"/>
        <v>100</v>
      </c>
      <c r="AJ55" s="139"/>
      <c r="AK55" s="134">
        <f t="shared" si="15"/>
        <v>100</v>
      </c>
      <c r="AL55" s="55"/>
      <c r="AM55" s="134">
        <f t="shared" si="16"/>
        <v>100</v>
      </c>
      <c r="AN55" s="139"/>
      <c r="AO55" s="134">
        <f t="shared" si="17"/>
        <v>100</v>
      </c>
      <c r="AP55" s="149"/>
      <c r="AQ55" s="134">
        <f t="shared" si="37"/>
        <v>100</v>
      </c>
      <c r="AR55" s="42">
        <v>100</v>
      </c>
      <c r="AS55" s="42">
        <f t="shared" si="18"/>
        <v>0</v>
      </c>
      <c r="AT55" s="95"/>
      <c r="AU55" s="42">
        <f t="shared" si="19"/>
        <v>100</v>
      </c>
      <c r="AV55" s="42"/>
      <c r="AW55" s="87">
        <f t="shared" si="28"/>
        <v>100</v>
      </c>
      <c r="AX55" s="87"/>
      <c r="AY55" s="109">
        <f t="shared" si="38"/>
        <v>100</v>
      </c>
      <c r="AZ55" s="40"/>
      <c r="BA55" s="105">
        <f t="shared" si="22"/>
        <v>100</v>
      </c>
    </row>
    <row r="56" s="3" customFormat="1" ht="37.5" spans="1:53">
      <c r="A56" s="67" t="s">
        <v>35</v>
      </c>
      <c r="B56" s="68" t="s">
        <v>105</v>
      </c>
      <c r="C56" s="69" t="s">
        <v>106</v>
      </c>
      <c r="D56" s="37">
        <f t="shared" ref="D56:N56" si="46">SUM(D57:D57,D78,D79)</f>
        <v>1546.2</v>
      </c>
      <c r="E56" s="37">
        <f t="shared" si="46"/>
        <v>1546.2</v>
      </c>
      <c r="F56" s="37">
        <f t="shared" si="46"/>
        <v>1475.3</v>
      </c>
      <c r="G56" s="37">
        <f t="shared" si="46"/>
        <v>0</v>
      </c>
      <c r="H56" s="37">
        <f t="shared" si="46"/>
        <v>1475.3</v>
      </c>
      <c r="I56" s="86">
        <f t="shared" si="46"/>
        <v>1</v>
      </c>
      <c r="J56" s="37">
        <f t="shared" si="46"/>
        <v>1476.3</v>
      </c>
      <c r="K56" s="37">
        <f t="shared" si="46"/>
        <v>0</v>
      </c>
      <c r="L56" s="37">
        <f t="shared" si="46"/>
        <v>1476.3</v>
      </c>
      <c r="M56" s="37">
        <f t="shared" si="46"/>
        <v>0</v>
      </c>
      <c r="N56" s="37">
        <f t="shared" si="46"/>
        <v>0</v>
      </c>
      <c r="O56" s="21">
        <f>O57+O58+O78+O79</f>
        <v>85336.8</v>
      </c>
      <c r="P56" s="37">
        <f>P58</f>
        <v>3.70000000000002</v>
      </c>
      <c r="Q56" s="21">
        <f>P56+O56</f>
        <v>85340.5</v>
      </c>
      <c r="R56" s="21">
        <f>SUM(R57)+R58+R78+R79</f>
        <v>75842.5</v>
      </c>
      <c r="S56" s="21">
        <f>SUM(S57)+S58+S78+S79</f>
        <v>-9498</v>
      </c>
      <c r="T56" s="21">
        <f>SUM(T57)+T58+T78+T79</f>
        <v>455.6</v>
      </c>
      <c r="U56" s="21">
        <f t="shared" ref="U56:Z56" si="47">SUM(U57,U58,U77,U78,U79)</f>
        <v>76543.75</v>
      </c>
      <c r="V56" s="21">
        <f t="shared" si="47"/>
        <v>1823.602</v>
      </c>
      <c r="W56" s="21">
        <f t="shared" si="47"/>
        <v>79620.2</v>
      </c>
      <c r="X56" s="100">
        <f t="shared" si="47"/>
        <v>12249.6</v>
      </c>
      <c r="Y56" s="120">
        <f t="shared" si="47"/>
        <v>91884.4</v>
      </c>
      <c r="Z56" s="120">
        <f t="shared" si="47"/>
        <v>0.039</v>
      </c>
      <c r="AA56" s="123">
        <f t="shared" ref="AA56:AU56" si="48">SUM(AA57,AA58,AA78,AA79)</f>
        <v>91884.439</v>
      </c>
      <c r="AB56" s="123">
        <f t="shared" si="48"/>
        <v>696.446</v>
      </c>
      <c r="AC56" s="123">
        <f t="shared" si="48"/>
        <v>92580.885</v>
      </c>
      <c r="AD56" s="123">
        <f t="shared" si="48"/>
        <v>-9.638</v>
      </c>
      <c r="AE56" s="123">
        <f t="shared" si="48"/>
        <v>92571.247</v>
      </c>
      <c r="AF56" s="123">
        <f t="shared" si="48"/>
        <v>1009.646</v>
      </c>
      <c r="AG56" s="123">
        <f t="shared" si="48"/>
        <v>93580.893</v>
      </c>
      <c r="AH56" s="132">
        <f t="shared" si="48"/>
        <v>81.65085</v>
      </c>
      <c r="AI56" s="132">
        <f t="shared" si="48"/>
        <v>93662.54385</v>
      </c>
      <c r="AJ56" s="132">
        <f t="shared" si="48"/>
        <v>313.5</v>
      </c>
      <c r="AK56" s="132">
        <f t="shared" si="48"/>
        <v>93976.04385</v>
      </c>
      <c r="AL56" s="132">
        <f t="shared" si="48"/>
        <v>0</v>
      </c>
      <c r="AM56" s="132">
        <f t="shared" si="48"/>
        <v>93976.04385</v>
      </c>
      <c r="AN56" s="132">
        <f t="shared" si="48"/>
        <v>0</v>
      </c>
      <c r="AO56" s="132">
        <f t="shared" si="48"/>
        <v>93976.04385</v>
      </c>
      <c r="AP56" s="134">
        <f t="shared" si="48"/>
        <v>0</v>
      </c>
      <c r="AQ56" s="132">
        <f t="shared" si="48"/>
        <v>93976.04385</v>
      </c>
      <c r="AR56" s="132">
        <f t="shared" si="48"/>
        <v>101990.6</v>
      </c>
      <c r="AS56" s="132">
        <f t="shared" si="48"/>
        <v>8014.55615</v>
      </c>
      <c r="AT56" s="132">
        <f t="shared" si="48"/>
        <v>-6207.2</v>
      </c>
      <c r="AU56" s="132">
        <f t="shared" si="48"/>
        <v>95783.4</v>
      </c>
      <c r="AV56" s="42"/>
      <c r="AW56" s="157">
        <f>SUM(AW57,AW58,AW78,AW79)</f>
        <v>98690.047</v>
      </c>
      <c r="AX56" s="157">
        <f>SUM(AX57,AX58,AX78,AX79)</f>
        <v>869.3</v>
      </c>
      <c r="AY56" s="157">
        <f>SUM(AY57,AY58,AY78,AY79)</f>
        <v>99559.347</v>
      </c>
      <c r="AZ56" s="157">
        <f t="shared" ref="AZ56:BA56" si="49">SUM(AZ57,AZ58,AZ78,AZ79)</f>
        <v>0</v>
      </c>
      <c r="BA56" s="157">
        <f t="shared" si="49"/>
        <v>99559.347</v>
      </c>
    </row>
    <row r="57" s="3" customFormat="1" ht="82.5" customHeight="1" spans="1:53">
      <c r="A57" s="47" t="s">
        <v>54</v>
      </c>
      <c r="B57" s="70" t="s">
        <v>107</v>
      </c>
      <c r="C57" s="49" t="s">
        <v>108</v>
      </c>
      <c r="D57" s="42">
        <v>1102.4</v>
      </c>
      <c r="E57" s="51">
        <v>1102.4</v>
      </c>
      <c r="F57" s="51">
        <v>1032.5</v>
      </c>
      <c r="G57" s="51"/>
      <c r="H57" s="51">
        <f>F57+G57</f>
        <v>1032.5</v>
      </c>
      <c r="I57" s="63"/>
      <c r="J57" s="87">
        <f>SUM(H57,I57)</f>
        <v>1032.5</v>
      </c>
      <c r="K57" s="88"/>
      <c r="L57" s="87">
        <f>SUM(J57,K57)</f>
        <v>1032.5</v>
      </c>
      <c r="M57" s="88"/>
      <c r="N57" s="37"/>
      <c r="O57" s="89">
        <v>1032.5</v>
      </c>
      <c r="P57" s="90"/>
      <c r="Q57" s="89">
        <f t="shared" si="6"/>
        <v>1032.5</v>
      </c>
      <c r="R57" s="89">
        <v>960.2</v>
      </c>
      <c r="S57" s="37">
        <f t="shared" si="11"/>
        <v>-72.3</v>
      </c>
      <c r="T57" s="110"/>
      <c r="U57" s="89">
        <f t="shared" si="7"/>
        <v>960.2</v>
      </c>
      <c r="V57" s="108"/>
      <c r="W57" s="111">
        <v>978.3</v>
      </c>
      <c r="X57" s="109">
        <f t="shared" si="13"/>
        <v>0</v>
      </c>
      <c r="Y57" s="131">
        <v>978.3</v>
      </c>
      <c r="Z57" s="95"/>
      <c r="AA57" s="131">
        <f t="shared" si="29"/>
        <v>978.3</v>
      </c>
      <c r="AB57" s="132"/>
      <c r="AC57" s="123">
        <f t="shared" si="39"/>
        <v>978.3</v>
      </c>
      <c r="AD57" s="110"/>
      <c r="AE57" s="133">
        <f t="shared" si="9"/>
        <v>978.3</v>
      </c>
      <c r="AF57" s="88"/>
      <c r="AG57" s="134">
        <f t="shared" si="14"/>
        <v>978.3</v>
      </c>
      <c r="AH57" s="110"/>
      <c r="AI57" s="134">
        <f t="shared" si="10"/>
        <v>978.3</v>
      </c>
      <c r="AJ57" s="140"/>
      <c r="AK57" s="134">
        <f t="shared" si="15"/>
        <v>978.3</v>
      </c>
      <c r="AL57" s="108"/>
      <c r="AM57" s="134">
        <f t="shared" si="16"/>
        <v>978.3</v>
      </c>
      <c r="AN57" s="140"/>
      <c r="AO57" s="134">
        <f t="shared" si="17"/>
        <v>978.3</v>
      </c>
      <c r="AP57" s="149"/>
      <c r="AQ57" s="134">
        <f>SUM(AO57,AP57)</f>
        <v>978.3</v>
      </c>
      <c r="AR57" s="42">
        <v>980.3</v>
      </c>
      <c r="AS57" s="42">
        <f t="shared" si="18"/>
        <v>2</v>
      </c>
      <c r="AT57" s="88"/>
      <c r="AU57" s="42">
        <f t="shared" si="19"/>
        <v>980.3</v>
      </c>
      <c r="AV57" s="42"/>
      <c r="AW57" s="87">
        <f t="shared" si="28"/>
        <v>980.3</v>
      </c>
      <c r="AX57" s="87"/>
      <c r="AY57" s="109">
        <f t="shared" si="38"/>
        <v>980.3</v>
      </c>
      <c r="AZ57" s="35"/>
      <c r="BA57" s="105">
        <f t="shared" si="22"/>
        <v>980.3</v>
      </c>
    </row>
    <row r="58" s="6" customFormat="1" ht="39" spans="1:53">
      <c r="A58" s="71" t="s">
        <v>35</v>
      </c>
      <c r="B58" s="58" t="s">
        <v>109</v>
      </c>
      <c r="C58" s="72" t="s">
        <v>110</v>
      </c>
      <c r="D58" s="50">
        <f t="shared" ref="D58:P58" si="50">SUM(D59:D76)</f>
        <v>79478.8</v>
      </c>
      <c r="E58" s="60">
        <f t="shared" si="50"/>
        <v>81090.6</v>
      </c>
      <c r="F58" s="60">
        <f t="shared" si="50"/>
        <v>80340.9</v>
      </c>
      <c r="G58" s="60">
        <f t="shared" si="50"/>
        <v>-1</v>
      </c>
      <c r="H58" s="37">
        <f t="shared" si="50"/>
        <v>80339.9</v>
      </c>
      <c r="I58" s="86">
        <f t="shared" si="50"/>
        <v>781</v>
      </c>
      <c r="J58" s="37">
        <f t="shared" si="50"/>
        <v>81120.9</v>
      </c>
      <c r="K58" s="37">
        <f t="shared" si="50"/>
        <v>0</v>
      </c>
      <c r="L58" s="37">
        <f t="shared" si="50"/>
        <v>81120.9</v>
      </c>
      <c r="M58" s="37">
        <f t="shared" si="50"/>
        <v>0</v>
      </c>
      <c r="N58" s="37">
        <f t="shared" si="50"/>
        <v>1879.4</v>
      </c>
      <c r="O58" s="21">
        <f t="shared" si="50"/>
        <v>83860.5</v>
      </c>
      <c r="P58" s="37">
        <f t="shared" si="50"/>
        <v>3.70000000000002</v>
      </c>
      <c r="Q58" s="21">
        <f t="shared" si="6"/>
        <v>83864.2</v>
      </c>
      <c r="R58" s="21">
        <f t="shared" ref="R58:AU58" si="51">SUM(R59:R76)</f>
        <v>74508.6</v>
      </c>
      <c r="S58" s="21">
        <f t="shared" si="51"/>
        <v>-9355.6</v>
      </c>
      <c r="T58" s="21">
        <f t="shared" si="51"/>
        <v>455.6</v>
      </c>
      <c r="U58" s="21">
        <f t="shared" si="51"/>
        <v>74964.15</v>
      </c>
      <c r="V58" s="21">
        <f t="shared" si="51"/>
        <v>1813.202</v>
      </c>
      <c r="W58" s="21">
        <f t="shared" si="51"/>
        <v>78251.4</v>
      </c>
      <c r="X58" s="100">
        <f t="shared" si="51"/>
        <v>11252.1</v>
      </c>
      <c r="Y58" s="120">
        <f t="shared" si="51"/>
        <v>89503.5</v>
      </c>
      <c r="Z58" s="120">
        <f t="shared" si="51"/>
        <v>0.003</v>
      </c>
      <c r="AA58" s="120">
        <f t="shared" si="51"/>
        <v>89503.503</v>
      </c>
      <c r="AB58" s="123">
        <f t="shared" si="51"/>
        <v>661.6</v>
      </c>
      <c r="AC58" s="123">
        <f t="shared" si="51"/>
        <v>90165.103</v>
      </c>
      <c r="AD58" s="123">
        <f t="shared" si="51"/>
        <v>-9.646</v>
      </c>
      <c r="AE58" s="123">
        <f t="shared" si="51"/>
        <v>90155.457</v>
      </c>
      <c r="AF58" s="123">
        <f t="shared" si="51"/>
        <v>1009.646</v>
      </c>
      <c r="AG58" s="123">
        <f t="shared" si="51"/>
        <v>91165.103</v>
      </c>
      <c r="AH58" s="132">
        <f t="shared" si="51"/>
        <v>0</v>
      </c>
      <c r="AI58" s="132">
        <f t="shared" si="51"/>
        <v>91165.103</v>
      </c>
      <c r="AJ58" s="132">
        <f t="shared" si="51"/>
        <v>284.5</v>
      </c>
      <c r="AK58" s="132">
        <f t="shared" si="51"/>
        <v>91449.603</v>
      </c>
      <c r="AL58" s="132">
        <f t="shared" si="51"/>
        <v>0</v>
      </c>
      <c r="AM58" s="132">
        <f t="shared" si="51"/>
        <v>91449.603</v>
      </c>
      <c r="AN58" s="132">
        <f t="shared" si="51"/>
        <v>0</v>
      </c>
      <c r="AO58" s="132">
        <f t="shared" si="51"/>
        <v>91449.603</v>
      </c>
      <c r="AP58" s="134">
        <f t="shared" si="51"/>
        <v>0</v>
      </c>
      <c r="AQ58" s="132">
        <f t="shared" si="51"/>
        <v>91449.603</v>
      </c>
      <c r="AR58" s="132">
        <f t="shared" si="51"/>
        <v>99639.3</v>
      </c>
      <c r="AS58" s="132">
        <f t="shared" si="51"/>
        <v>8189.697</v>
      </c>
      <c r="AT58" s="132">
        <f t="shared" si="51"/>
        <v>-6207.2</v>
      </c>
      <c r="AU58" s="132">
        <f t="shared" si="51"/>
        <v>93432.1</v>
      </c>
      <c r="AV58" s="42"/>
      <c r="AW58" s="158">
        <f>SUM(AW59:AW76)</f>
        <v>96336.809</v>
      </c>
      <c r="AX58" s="158">
        <f>SUM(AX59:AX76)</f>
        <v>869.3</v>
      </c>
      <c r="AY58" s="158">
        <f>SUM(AY59:AY76)</f>
        <v>97206.109</v>
      </c>
      <c r="AZ58" s="158">
        <f t="shared" ref="AZ58:BA58" si="52">SUM(AZ59:AZ76)</f>
        <v>0</v>
      </c>
      <c r="BA58" s="158">
        <f t="shared" si="52"/>
        <v>97206.109</v>
      </c>
    </row>
    <row r="59" s="6" customFormat="1" ht="40.5" customHeight="1" spans="1:53">
      <c r="A59" s="47" t="s">
        <v>49</v>
      </c>
      <c r="B59" s="55" t="s">
        <v>109</v>
      </c>
      <c r="C59" s="61" t="s">
        <v>111</v>
      </c>
      <c r="D59" s="42">
        <v>367.7</v>
      </c>
      <c r="E59" s="51">
        <v>367.7</v>
      </c>
      <c r="F59" s="51">
        <v>367.7</v>
      </c>
      <c r="G59" s="51"/>
      <c r="H59" s="51">
        <f t="shared" ref="H59:H70" si="53">F59+G59</f>
        <v>367.7</v>
      </c>
      <c r="I59" s="42">
        <v>14.3</v>
      </c>
      <c r="J59" s="87">
        <f t="shared" ref="J59:J70" si="54">SUM(H59,I59)</f>
        <v>382</v>
      </c>
      <c r="K59" s="94"/>
      <c r="L59" s="87">
        <f t="shared" ref="L59:L70" si="55">SUM(J59,K59)</f>
        <v>382</v>
      </c>
      <c r="M59" s="94"/>
      <c r="N59" s="60"/>
      <c r="O59" s="89">
        <v>382</v>
      </c>
      <c r="P59" s="93"/>
      <c r="Q59" s="89">
        <f t="shared" si="6"/>
        <v>382</v>
      </c>
      <c r="R59" s="89">
        <v>392.4</v>
      </c>
      <c r="S59" s="37">
        <f t="shared" si="11"/>
        <v>10.4</v>
      </c>
      <c r="T59" s="89">
        <v>0</v>
      </c>
      <c r="U59" s="89">
        <f t="shared" si="7"/>
        <v>392.4</v>
      </c>
      <c r="V59" s="58"/>
      <c r="W59" s="111">
        <v>392.4</v>
      </c>
      <c r="X59" s="109">
        <f t="shared" si="13"/>
        <v>35.8</v>
      </c>
      <c r="Y59" s="131">
        <v>428.2</v>
      </c>
      <c r="Z59" s="95"/>
      <c r="AA59" s="131">
        <f t="shared" si="29"/>
        <v>428.2</v>
      </c>
      <c r="AB59" s="134"/>
      <c r="AC59" s="133">
        <f t="shared" si="39"/>
        <v>428.2</v>
      </c>
      <c r="AD59" s="55"/>
      <c r="AE59" s="133">
        <f t="shared" si="9"/>
        <v>428.2</v>
      </c>
      <c r="AF59" s="95"/>
      <c r="AG59" s="134">
        <f t="shared" si="14"/>
        <v>428.2</v>
      </c>
      <c r="AH59" s="117"/>
      <c r="AI59" s="134">
        <f t="shared" si="10"/>
        <v>428.2</v>
      </c>
      <c r="AJ59" s="143"/>
      <c r="AK59" s="134">
        <f t="shared" si="15"/>
        <v>428.2</v>
      </c>
      <c r="AL59" s="58"/>
      <c r="AM59" s="134">
        <f t="shared" si="16"/>
        <v>428.2</v>
      </c>
      <c r="AN59" s="143"/>
      <c r="AO59" s="134">
        <f t="shared" si="17"/>
        <v>428.2</v>
      </c>
      <c r="AP59" s="149"/>
      <c r="AQ59" s="134">
        <f t="shared" ref="AQ59:AQ78" si="56">SUM(AO59,AP59)</f>
        <v>428.2</v>
      </c>
      <c r="AR59" s="42">
        <v>428.2</v>
      </c>
      <c r="AS59" s="42">
        <f t="shared" si="18"/>
        <v>0</v>
      </c>
      <c r="AT59" s="94"/>
      <c r="AU59" s="42">
        <f t="shared" si="19"/>
        <v>428.2</v>
      </c>
      <c r="AV59" s="42"/>
      <c r="AW59" s="87">
        <v>463.6</v>
      </c>
      <c r="AX59" s="87"/>
      <c r="AY59" s="109">
        <f t="shared" si="38"/>
        <v>463.6</v>
      </c>
      <c r="AZ59" s="155"/>
      <c r="BA59" s="105">
        <f t="shared" si="22"/>
        <v>463.6</v>
      </c>
    </row>
    <row r="60" s="6" customFormat="1" ht="65.25" customHeight="1" spans="1:53">
      <c r="A60" s="47" t="s">
        <v>49</v>
      </c>
      <c r="B60" s="55" t="s">
        <v>109</v>
      </c>
      <c r="C60" s="52" t="s">
        <v>112</v>
      </c>
      <c r="D60" s="42">
        <v>57.5</v>
      </c>
      <c r="E60" s="51">
        <v>57.5</v>
      </c>
      <c r="F60" s="51">
        <v>62.7</v>
      </c>
      <c r="G60" s="51"/>
      <c r="H60" s="51">
        <f t="shared" si="53"/>
        <v>62.7</v>
      </c>
      <c r="I60" s="42">
        <v>16.7</v>
      </c>
      <c r="J60" s="87">
        <f t="shared" si="54"/>
        <v>79.4</v>
      </c>
      <c r="K60" s="94"/>
      <c r="L60" s="87">
        <f t="shared" si="55"/>
        <v>79.4</v>
      </c>
      <c r="M60" s="94"/>
      <c r="N60" s="60"/>
      <c r="O60" s="89">
        <v>138.7</v>
      </c>
      <c r="P60" s="93">
        <v>0</v>
      </c>
      <c r="Q60" s="89">
        <f t="shared" si="6"/>
        <v>138.7</v>
      </c>
      <c r="R60" s="89">
        <v>165.6</v>
      </c>
      <c r="S60" s="37">
        <f t="shared" si="11"/>
        <v>26.9</v>
      </c>
      <c r="T60" s="117"/>
      <c r="U60" s="89">
        <f t="shared" si="7"/>
        <v>165.6</v>
      </c>
      <c r="V60" s="58"/>
      <c r="W60" s="111">
        <v>165.6</v>
      </c>
      <c r="X60" s="109">
        <f t="shared" si="13"/>
        <v>0</v>
      </c>
      <c r="Y60" s="131">
        <v>165.6</v>
      </c>
      <c r="Z60" s="95"/>
      <c r="AA60" s="131">
        <f t="shared" si="29"/>
        <v>165.6</v>
      </c>
      <c r="AB60" s="134">
        <v>34.8</v>
      </c>
      <c r="AC60" s="133">
        <f t="shared" si="39"/>
        <v>200.4</v>
      </c>
      <c r="AD60" s="42">
        <v>-6</v>
      </c>
      <c r="AE60" s="133">
        <f t="shared" si="9"/>
        <v>194.4</v>
      </c>
      <c r="AF60" s="42">
        <v>6</v>
      </c>
      <c r="AG60" s="134">
        <f t="shared" si="14"/>
        <v>200.4</v>
      </c>
      <c r="AH60" s="117"/>
      <c r="AI60" s="134">
        <f t="shared" si="10"/>
        <v>200.4</v>
      </c>
      <c r="AJ60" s="143"/>
      <c r="AK60" s="134">
        <f t="shared" si="15"/>
        <v>200.4</v>
      </c>
      <c r="AL60" s="58"/>
      <c r="AM60" s="134">
        <f t="shared" si="16"/>
        <v>200.4</v>
      </c>
      <c r="AN60" s="143"/>
      <c r="AO60" s="134">
        <f t="shared" si="17"/>
        <v>200.4</v>
      </c>
      <c r="AP60" s="149"/>
      <c r="AQ60" s="134">
        <f t="shared" si="56"/>
        <v>200.4</v>
      </c>
      <c r="AR60" s="42">
        <v>333.9</v>
      </c>
      <c r="AS60" s="42">
        <f t="shared" si="18"/>
        <v>133.5</v>
      </c>
      <c r="AT60" s="50">
        <v>-15.7</v>
      </c>
      <c r="AU60" s="42">
        <f t="shared" si="19"/>
        <v>318.2</v>
      </c>
      <c r="AV60" s="42"/>
      <c r="AW60" s="87">
        <v>318.244</v>
      </c>
      <c r="AX60" s="87"/>
      <c r="AY60" s="109">
        <f t="shared" si="38"/>
        <v>318.244</v>
      </c>
      <c r="AZ60" s="155"/>
      <c r="BA60" s="105">
        <f t="shared" si="22"/>
        <v>318.244</v>
      </c>
    </row>
    <row r="61" s="6" customFormat="1" ht="56.25" spans="1:53">
      <c r="A61" s="47" t="s">
        <v>49</v>
      </c>
      <c r="B61" s="55" t="s">
        <v>109</v>
      </c>
      <c r="C61" s="52" t="s">
        <v>113</v>
      </c>
      <c r="D61" s="42">
        <v>0.9</v>
      </c>
      <c r="E61" s="51">
        <v>0.9</v>
      </c>
      <c r="F61" s="51">
        <v>0.9</v>
      </c>
      <c r="G61" s="51"/>
      <c r="H61" s="51">
        <f t="shared" si="53"/>
        <v>0.9</v>
      </c>
      <c r="I61" s="42">
        <v>0.3</v>
      </c>
      <c r="J61" s="87">
        <f t="shared" si="54"/>
        <v>1.2</v>
      </c>
      <c r="K61" s="94"/>
      <c r="L61" s="87">
        <f t="shared" si="55"/>
        <v>1.2</v>
      </c>
      <c r="M61" s="94"/>
      <c r="N61" s="60"/>
      <c r="O61" s="89">
        <v>2.1</v>
      </c>
      <c r="P61" s="93">
        <v>0</v>
      </c>
      <c r="Q61" s="89">
        <f t="shared" si="6"/>
        <v>2.1</v>
      </c>
      <c r="R61" s="89">
        <v>2.5</v>
      </c>
      <c r="S61" s="37">
        <f t="shared" si="11"/>
        <v>0.4</v>
      </c>
      <c r="T61" s="117"/>
      <c r="U61" s="89">
        <f t="shared" si="7"/>
        <v>2.5</v>
      </c>
      <c r="V61" s="58"/>
      <c r="W61" s="111">
        <v>2.5</v>
      </c>
      <c r="X61" s="109">
        <f t="shared" si="13"/>
        <v>0</v>
      </c>
      <c r="Y61" s="131">
        <v>2.5</v>
      </c>
      <c r="Z61" s="95"/>
      <c r="AA61" s="131">
        <f t="shared" si="29"/>
        <v>2.5</v>
      </c>
      <c r="AB61" s="134">
        <v>0.5</v>
      </c>
      <c r="AC61" s="133">
        <f t="shared" si="39"/>
        <v>3</v>
      </c>
      <c r="AD61" s="42">
        <v>-0.1</v>
      </c>
      <c r="AE61" s="133">
        <f t="shared" si="9"/>
        <v>2.9</v>
      </c>
      <c r="AF61" s="42">
        <v>0.1</v>
      </c>
      <c r="AG61" s="144">
        <f t="shared" si="14"/>
        <v>3</v>
      </c>
      <c r="AH61" s="117"/>
      <c r="AI61" s="134">
        <f t="shared" si="10"/>
        <v>3</v>
      </c>
      <c r="AJ61" s="143"/>
      <c r="AK61" s="134">
        <f t="shared" si="15"/>
        <v>3</v>
      </c>
      <c r="AL61" s="58"/>
      <c r="AM61" s="134">
        <f t="shared" si="16"/>
        <v>3</v>
      </c>
      <c r="AN61" s="143"/>
      <c r="AO61" s="134">
        <f t="shared" si="17"/>
        <v>3</v>
      </c>
      <c r="AP61" s="149"/>
      <c r="AQ61" s="134">
        <f t="shared" si="56"/>
        <v>3</v>
      </c>
      <c r="AR61" s="42">
        <v>5</v>
      </c>
      <c r="AS61" s="42">
        <f t="shared" si="18"/>
        <v>2</v>
      </c>
      <c r="AT61" s="50">
        <v>-0.2</v>
      </c>
      <c r="AU61" s="42">
        <f t="shared" si="19"/>
        <v>4.8</v>
      </c>
      <c r="AV61" s="42"/>
      <c r="AW61" s="87">
        <v>4.765</v>
      </c>
      <c r="AX61" s="87"/>
      <c r="AY61" s="109">
        <f t="shared" si="38"/>
        <v>4.765</v>
      </c>
      <c r="AZ61" s="155"/>
      <c r="BA61" s="105">
        <f t="shared" si="22"/>
        <v>4.765</v>
      </c>
    </row>
    <row r="62" s="6" customFormat="1" ht="56.25" spans="1:53">
      <c r="A62" s="47" t="s">
        <v>49</v>
      </c>
      <c r="B62" s="55" t="s">
        <v>109</v>
      </c>
      <c r="C62" s="52" t="s">
        <v>114</v>
      </c>
      <c r="D62" s="42"/>
      <c r="E62" s="51"/>
      <c r="F62" s="51"/>
      <c r="G62" s="51"/>
      <c r="H62" s="51"/>
      <c r="I62" s="42"/>
      <c r="J62" s="87"/>
      <c r="K62" s="94"/>
      <c r="L62" s="87"/>
      <c r="M62" s="94"/>
      <c r="N62" s="60"/>
      <c r="O62" s="89"/>
      <c r="P62" s="93"/>
      <c r="Q62" s="89"/>
      <c r="R62" s="89"/>
      <c r="S62" s="37"/>
      <c r="T62" s="117"/>
      <c r="U62" s="89"/>
      <c r="V62" s="58"/>
      <c r="W62" s="111">
        <v>0</v>
      </c>
      <c r="X62" s="109">
        <f t="shared" si="13"/>
        <v>101.6</v>
      </c>
      <c r="Y62" s="131">
        <v>101.6</v>
      </c>
      <c r="Z62" s="95">
        <v>0.005</v>
      </c>
      <c r="AA62" s="131">
        <f t="shared" si="29"/>
        <v>101.605</v>
      </c>
      <c r="AB62" s="134"/>
      <c r="AC62" s="133">
        <f t="shared" si="39"/>
        <v>101.605</v>
      </c>
      <c r="AD62" s="134">
        <v>-3.105</v>
      </c>
      <c r="AE62" s="133">
        <f t="shared" si="9"/>
        <v>98.5</v>
      </c>
      <c r="AF62" s="95">
        <v>3.105</v>
      </c>
      <c r="AG62" s="134">
        <f t="shared" si="14"/>
        <v>101.605</v>
      </c>
      <c r="AH62" s="117"/>
      <c r="AI62" s="134">
        <f t="shared" si="10"/>
        <v>101.605</v>
      </c>
      <c r="AJ62" s="143"/>
      <c r="AK62" s="134">
        <f t="shared" si="15"/>
        <v>101.605</v>
      </c>
      <c r="AL62" s="58"/>
      <c r="AM62" s="134">
        <f t="shared" si="16"/>
        <v>101.605</v>
      </c>
      <c r="AN62" s="143"/>
      <c r="AO62" s="134">
        <f t="shared" si="17"/>
        <v>101.605</v>
      </c>
      <c r="AP62" s="149"/>
      <c r="AQ62" s="134">
        <f t="shared" si="56"/>
        <v>101.605</v>
      </c>
      <c r="AR62" s="42">
        <v>101.6</v>
      </c>
      <c r="AS62" s="42">
        <f t="shared" si="18"/>
        <v>-0.00499999999999545</v>
      </c>
      <c r="AT62" s="94"/>
      <c r="AU62" s="42">
        <f t="shared" si="19"/>
        <v>101.6</v>
      </c>
      <c r="AV62" s="42"/>
      <c r="AW62" s="87">
        <v>101.6</v>
      </c>
      <c r="AX62" s="87"/>
      <c r="AY62" s="109">
        <f t="shared" si="38"/>
        <v>101.6</v>
      </c>
      <c r="AZ62" s="155"/>
      <c r="BA62" s="105">
        <f t="shared" si="22"/>
        <v>101.6</v>
      </c>
    </row>
    <row r="63" s="6" customFormat="1" ht="56.25" spans="1:53">
      <c r="A63" s="47" t="s">
        <v>49</v>
      </c>
      <c r="B63" s="55" t="s">
        <v>109</v>
      </c>
      <c r="C63" s="52" t="s">
        <v>115</v>
      </c>
      <c r="D63" s="42"/>
      <c r="E63" s="51"/>
      <c r="F63" s="51"/>
      <c r="G63" s="51"/>
      <c r="H63" s="51"/>
      <c r="I63" s="42"/>
      <c r="J63" s="87"/>
      <c r="K63" s="94"/>
      <c r="L63" s="87"/>
      <c r="M63" s="94"/>
      <c r="N63" s="60"/>
      <c r="O63" s="89"/>
      <c r="P63" s="93"/>
      <c r="Q63" s="89"/>
      <c r="R63" s="89"/>
      <c r="S63" s="37"/>
      <c r="T63" s="117"/>
      <c r="U63" s="89"/>
      <c r="V63" s="58"/>
      <c r="W63" s="111">
        <v>0</v>
      </c>
      <c r="X63" s="109">
        <f t="shared" si="13"/>
        <v>15.2</v>
      </c>
      <c r="Y63" s="131">
        <v>15.2</v>
      </c>
      <c r="Z63" s="95">
        <v>0.041</v>
      </c>
      <c r="AA63" s="131">
        <f t="shared" si="29"/>
        <v>15.241</v>
      </c>
      <c r="AB63" s="134"/>
      <c r="AC63" s="133">
        <f t="shared" si="39"/>
        <v>15.241</v>
      </c>
      <c r="AD63" s="134">
        <v>-0.441</v>
      </c>
      <c r="AE63" s="133">
        <f t="shared" si="9"/>
        <v>14.8</v>
      </c>
      <c r="AF63" s="95">
        <v>0.441</v>
      </c>
      <c r="AG63" s="134">
        <f t="shared" si="14"/>
        <v>15.241</v>
      </c>
      <c r="AH63" s="117"/>
      <c r="AI63" s="134">
        <f t="shared" si="10"/>
        <v>15.241</v>
      </c>
      <c r="AJ63" s="143"/>
      <c r="AK63" s="134">
        <f t="shared" si="15"/>
        <v>15.241</v>
      </c>
      <c r="AL63" s="58"/>
      <c r="AM63" s="134">
        <f t="shared" si="16"/>
        <v>15.241</v>
      </c>
      <c r="AN63" s="143"/>
      <c r="AO63" s="134">
        <f t="shared" si="17"/>
        <v>15.241</v>
      </c>
      <c r="AP63" s="149"/>
      <c r="AQ63" s="134">
        <f t="shared" si="56"/>
        <v>15.241</v>
      </c>
      <c r="AR63" s="42">
        <v>15.2</v>
      </c>
      <c r="AS63" s="42">
        <f t="shared" si="18"/>
        <v>-0.0410000000000004</v>
      </c>
      <c r="AT63" s="94"/>
      <c r="AU63" s="42">
        <f t="shared" si="19"/>
        <v>15.2</v>
      </c>
      <c r="AV63" s="42"/>
      <c r="AW63" s="87">
        <f t="shared" si="28"/>
        <v>15.2</v>
      </c>
      <c r="AX63" s="87"/>
      <c r="AY63" s="109">
        <f t="shared" si="38"/>
        <v>15.2</v>
      </c>
      <c r="AZ63" s="155"/>
      <c r="BA63" s="105">
        <f t="shared" si="22"/>
        <v>15.2</v>
      </c>
    </row>
    <row r="64" s="6" customFormat="1" ht="39.75" customHeight="1" spans="1:53">
      <c r="A64" s="47" t="s">
        <v>42</v>
      </c>
      <c r="B64" s="55" t="s">
        <v>109</v>
      </c>
      <c r="C64" s="61" t="s">
        <v>116</v>
      </c>
      <c r="D64" s="42">
        <v>31.9</v>
      </c>
      <c r="E64" s="51">
        <v>31.9</v>
      </c>
      <c r="F64" s="51">
        <v>32.6</v>
      </c>
      <c r="G64" s="51"/>
      <c r="H64" s="51">
        <f t="shared" si="53"/>
        <v>32.6</v>
      </c>
      <c r="I64" s="42"/>
      <c r="J64" s="87">
        <f t="shared" si="54"/>
        <v>32.6</v>
      </c>
      <c r="K64" s="94"/>
      <c r="L64" s="87">
        <f t="shared" si="55"/>
        <v>32.6</v>
      </c>
      <c r="M64" s="94"/>
      <c r="N64" s="60"/>
      <c r="O64" s="89">
        <v>32.6</v>
      </c>
      <c r="P64" s="93"/>
      <c r="Q64" s="89">
        <f t="shared" si="6"/>
        <v>32.6</v>
      </c>
      <c r="R64" s="89">
        <v>33.5</v>
      </c>
      <c r="S64" s="37">
        <f t="shared" si="11"/>
        <v>0.899999999999999</v>
      </c>
      <c r="T64" s="117"/>
      <c r="U64" s="89">
        <f t="shared" si="7"/>
        <v>33.5</v>
      </c>
      <c r="V64" s="58"/>
      <c r="W64" s="111">
        <v>32.7</v>
      </c>
      <c r="X64" s="109">
        <f t="shared" si="13"/>
        <v>0</v>
      </c>
      <c r="Y64" s="131">
        <v>32.7</v>
      </c>
      <c r="Z64" s="95">
        <v>-0.043</v>
      </c>
      <c r="AA64" s="131">
        <f t="shared" si="29"/>
        <v>32.657</v>
      </c>
      <c r="AB64" s="134"/>
      <c r="AC64" s="133">
        <f t="shared" si="39"/>
        <v>32.657</v>
      </c>
      <c r="AD64" s="115"/>
      <c r="AE64" s="133">
        <f t="shared" ref="AE64:AE108" si="57">SUM(AC64,AD64)</f>
        <v>32.657</v>
      </c>
      <c r="AF64" s="95"/>
      <c r="AG64" s="134">
        <f t="shared" si="14"/>
        <v>32.657</v>
      </c>
      <c r="AH64" s="117"/>
      <c r="AI64" s="134">
        <f t="shared" si="10"/>
        <v>32.657</v>
      </c>
      <c r="AJ64" s="143"/>
      <c r="AK64" s="134">
        <f t="shared" si="15"/>
        <v>32.657</v>
      </c>
      <c r="AL64" s="58"/>
      <c r="AM64" s="134">
        <f t="shared" si="16"/>
        <v>32.657</v>
      </c>
      <c r="AN64" s="143"/>
      <c r="AO64" s="134">
        <f t="shared" si="17"/>
        <v>32.657</v>
      </c>
      <c r="AP64" s="149"/>
      <c r="AQ64" s="134">
        <f t="shared" si="56"/>
        <v>32.657</v>
      </c>
      <c r="AR64" s="42">
        <v>36.2</v>
      </c>
      <c r="AS64" s="42">
        <f t="shared" si="18"/>
        <v>3.543</v>
      </c>
      <c r="AT64" s="94"/>
      <c r="AU64" s="42">
        <f t="shared" si="19"/>
        <v>36.2</v>
      </c>
      <c r="AV64" s="42"/>
      <c r="AW64" s="87">
        <f t="shared" si="28"/>
        <v>36.2</v>
      </c>
      <c r="AX64" s="87"/>
      <c r="AY64" s="109">
        <f t="shared" si="38"/>
        <v>36.2</v>
      </c>
      <c r="AZ64" s="155"/>
      <c r="BA64" s="105">
        <f t="shared" si="22"/>
        <v>36.2</v>
      </c>
    </row>
    <row r="65" s="6" customFormat="1" ht="99.75" customHeight="1" spans="1:53">
      <c r="A65" s="47" t="s">
        <v>54</v>
      </c>
      <c r="B65" s="55" t="s">
        <v>109</v>
      </c>
      <c r="C65" s="159" t="s">
        <v>117</v>
      </c>
      <c r="D65" s="42">
        <v>16.5</v>
      </c>
      <c r="E65" s="51">
        <v>16.5</v>
      </c>
      <c r="F65" s="51">
        <v>16.5</v>
      </c>
      <c r="G65" s="51">
        <v>-1</v>
      </c>
      <c r="H65" s="51">
        <f t="shared" si="53"/>
        <v>15.5</v>
      </c>
      <c r="I65" s="42"/>
      <c r="J65" s="87">
        <f t="shared" si="54"/>
        <v>15.5</v>
      </c>
      <c r="K65" s="94"/>
      <c r="L65" s="87">
        <f t="shared" si="55"/>
        <v>15.5</v>
      </c>
      <c r="M65" s="94"/>
      <c r="N65" s="60"/>
      <c r="O65" s="89">
        <v>15.5</v>
      </c>
      <c r="P65" s="93"/>
      <c r="Q65" s="89">
        <f t="shared" si="6"/>
        <v>15.5</v>
      </c>
      <c r="R65" s="89">
        <v>14.4</v>
      </c>
      <c r="S65" s="37">
        <f t="shared" si="11"/>
        <v>-1.1</v>
      </c>
      <c r="T65" s="117"/>
      <c r="U65" s="89">
        <f t="shared" si="7"/>
        <v>14.4</v>
      </c>
      <c r="V65" s="58"/>
      <c r="W65" s="111">
        <v>14.7</v>
      </c>
      <c r="X65" s="109">
        <f t="shared" si="13"/>
        <v>0</v>
      </c>
      <c r="Y65" s="131">
        <v>14.7</v>
      </c>
      <c r="Z65" s="95"/>
      <c r="AA65" s="131">
        <f t="shared" si="29"/>
        <v>14.7</v>
      </c>
      <c r="AB65" s="134"/>
      <c r="AC65" s="133">
        <f t="shared" si="39"/>
        <v>14.7</v>
      </c>
      <c r="AD65" s="115"/>
      <c r="AE65" s="133">
        <f t="shared" si="57"/>
        <v>14.7</v>
      </c>
      <c r="AF65" s="95"/>
      <c r="AG65" s="134">
        <f t="shared" si="14"/>
        <v>14.7</v>
      </c>
      <c r="AH65" s="117"/>
      <c r="AI65" s="134">
        <f t="shared" si="10"/>
        <v>14.7</v>
      </c>
      <c r="AJ65" s="143"/>
      <c r="AK65" s="134">
        <f t="shared" si="15"/>
        <v>14.7</v>
      </c>
      <c r="AL65" s="58"/>
      <c r="AM65" s="134">
        <f t="shared" si="16"/>
        <v>14.7</v>
      </c>
      <c r="AN65" s="143"/>
      <c r="AO65" s="134">
        <f t="shared" si="17"/>
        <v>14.7</v>
      </c>
      <c r="AP65" s="149"/>
      <c r="AQ65" s="134">
        <f t="shared" si="56"/>
        <v>14.7</v>
      </c>
      <c r="AR65" s="42">
        <v>14.7</v>
      </c>
      <c r="AS65" s="42">
        <f t="shared" si="18"/>
        <v>0</v>
      </c>
      <c r="AT65" s="94"/>
      <c r="AU65" s="42">
        <f t="shared" si="19"/>
        <v>14.7</v>
      </c>
      <c r="AV65" s="42"/>
      <c r="AW65" s="87">
        <f t="shared" si="28"/>
        <v>14.7</v>
      </c>
      <c r="AX65" s="87"/>
      <c r="AY65" s="109">
        <f t="shared" si="38"/>
        <v>14.7</v>
      </c>
      <c r="AZ65" s="155"/>
      <c r="BA65" s="105">
        <f t="shared" si="22"/>
        <v>14.7</v>
      </c>
    </row>
    <row r="66" s="6" customFormat="1" ht="62.25" customHeight="1" spans="1:53">
      <c r="A66" s="47" t="s">
        <v>54</v>
      </c>
      <c r="B66" s="55" t="s">
        <v>109</v>
      </c>
      <c r="C66" s="52" t="s">
        <v>118</v>
      </c>
      <c r="D66" s="42">
        <v>12.4</v>
      </c>
      <c r="E66" s="51">
        <v>12.4</v>
      </c>
      <c r="F66" s="51">
        <v>10.3</v>
      </c>
      <c r="G66" s="51"/>
      <c r="H66" s="51">
        <f t="shared" si="53"/>
        <v>10.3</v>
      </c>
      <c r="I66" s="63"/>
      <c r="J66" s="87">
        <f t="shared" si="54"/>
        <v>10.3</v>
      </c>
      <c r="K66" s="88"/>
      <c r="L66" s="87">
        <f t="shared" si="55"/>
        <v>10.3</v>
      </c>
      <c r="M66" s="88"/>
      <c r="N66" s="37"/>
      <c r="O66" s="89">
        <v>10.3</v>
      </c>
      <c r="P66" s="90"/>
      <c r="Q66" s="89">
        <f t="shared" ref="Q66" si="58">P66+O66</f>
        <v>10.3</v>
      </c>
      <c r="R66" s="89">
        <v>10.3</v>
      </c>
      <c r="S66" s="37">
        <f t="shared" ref="S66" si="59">R66-Q66</f>
        <v>0</v>
      </c>
      <c r="T66" s="110"/>
      <c r="U66" s="89">
        <f t="shared" ref="U66" si="60">R66+T66</f>
        <v>10.3</v>
      </c>
      <c r="V66" s="91">
        <v>0.002</v>
      </c>
      <c r="W66" s="111">
        <v>10.3</v>
      </c>
      <c r="X66" s="109">
        <f t="shared" si="13"/>
        <v>-4.2</v>
      </c>
      <c r="Y66" s="131">
        <v>6.1</v>
      </c>
      <c r="Z66" s="95"/>
      <c r="AA66" s="131">
        <f t="shared" ref="AA66" si="61">SUM(Y66,Z66)</f>
        <v>6.1</v>
      </c>
      <c r="AB66" s="132"/>
      <c r="AC66" s="133">
        <f t="shared" ref="AC66" si="62">SUM(AA66:AB66)</f>
        <v>6.1</v>
      </c>
      <c r="AD66" s="110"/>
      <c r="AE66" s="133">
        <f t="shared" ref="AE66" si="63">SUM(AC66,AD66)</f>
        <v>6.1</v>
      </c>
      <c r="AF66" s="88"/>
      <c r="AG66" s="249">
        <f t="shared" si="14"/>
        <v>6.1</v>
      </c>
      <c r="AH66" s="110"/>
      <c r="AI66" s="134">
        <f t="shared" si="10"/>
        <v>6.1</v>
      </c>
      <c r="AJ66" s="42">
        <v>0.4</v>
      </c>
      <c r="AK66" s="134">
        <f t="shared" si="15"/>
        <v>6.5</v>
      </c>
      <c r="AL66" s="108"/>
      <c r="AM66" s="134">
        <f t="shared" si="16"/>
        <v>6.5</v>
      </c>
      <c r="AN66" s="140"/>
      <c r="AO66" s="134">
        <f t="shared" si="17"/>
        <v>6.5</v>
      </c>
      <c r="AP66" s="149"/>
      <c r="AQ66" s="134">
        <f t="shared" si="56"/>
        <v>6.5</v>
      </c>
      <c r="AR66" s="42">
        <v>6.4</v>
      </c>
      <c r="AS66" s="42">
        <f t="shared" ref="AS66" si="64">SUM(AR66-AQ66)</f>
        <v>-0.0999999999999996</v>
      </c>
      <c r="AT66" s="88"/>
      <c r="AU66" s="42">
        <f t="shared" ref="AU66" si="65">SUM(AR66,AT66)</f>
        <v>6.4</v>
      </c>
      <c r="AV66" s="42"/>
      <c r="AW66" s="87">
        <f t="shared" ref="AW66" si="66">AU66</f>
        <v>6.4</v>
      </c>
      <c r="AX66" s="87"/>
      <c r="AY66" s="109">
        <f t="shared" si="38"/>
        <v>6.4</v>
      </c>
      <c r="AZ66" s="155"/>
      <c r="BA66" s="105">
        <f t="shared" si="22"/>
        <v>6.4</v>
      </c>
    </row>
    <row r="67" ht="78" customHeight="1" spans="1:53">
      <c r="A67" s="47" t="s">
        <v>54</v>
      </c>
      <c r="B67" s="55" t="s">
        <v>109</v>
      </c>
      <c r="C67" s="160" t="s">
        <v>119</v>
      </c>
      <c r="D67" s="42">
        <v>51076.2</v>
      </c>
      <c r="E67" s="51">
        <v>51097.7</v>
      </c>
      <c r="F67" s="51">
        <v>51713.8</v>
      </c>
      <c r="G67" s="51"/>
      <c r="H67" s="51">
        <f t="shared" si="53"/>
        <v>51713.8</v>
      </c>
      <c r="I67" s="42">
        <v>365.6</v>
      </c>
      <c r="J67" s="87">
        <f t="shared" si="54"/>
        <v>52079.4</v>
      </c>
      <c r="K67" s="95"/>
      <c r="L67" s="87">
        <f t="shared" si="55"/>
        <v>52079.4</v>
      </c>
      <c r="M67" s="95"/>
      <c r="N67" s="51">
        <v>1552.7</v>
      </c>
      <c r="O67" s="89">
        <v>53632.1</v>
      </c>
      <c r="P67" s="91"/>
      <c r="Q67" s="89">
        <f t="shared" si="6"/>
        <v>53632.1</v>
      </c>
      <c r="R67" s="89">
        <v>45724.1</v>
      </c>
      <c r="S67" s="37">
        <f t="shared" si="11"/>
        <v>-7908</v>
      </c>
      <c r="T67" s="89">
        <v>150</v>
      </c>
      <c r="U67" s="89">
        <f t="shared" si="7"/>
        <v>45874.1</v>
      </c>
      <c r="V67" s="55"/>
      <c r="W67" s="111">
        <v>48563.9</v>
      </c>
      <c r="X67" s="109">
        <f t="shared" si="13"/>
        <v>11263</v>
      </c>
      <c r="Y67" s="131">
        <v>59826.9</v>
      </c>
      <c r="Z67" s="95"/>
      <c r="AA67" s="131">
        <f t="shared" si="29"/>
        <v>59826.9</v>
      </c>
      <c r="AB67" s="134">
        <v>152.6</v>
      </c>
      <c r="AC67" s="133">
        <f t="shared" si="39"/>
        <v>59979.5</v>
      </c>
      <c r="AD67" s="115"/>
      <c r="AE67" s="133">
        <f t="shared" si="57"/>
        <v>59979.5</v>
      </c>
      <c r="AF67" s="95"/>
      <c r="AG67" s="134">
        <f t="shared" si="14"/>
        <v>59979.5</v>
      </c>
      <c r="AH67" s="115"/>
      <c r="AI67" s="134">
        <f t="shared" ref="AI67:AI108" si="67">SUM(AG67,AH67)</f>
        <v>59979.5</v>
      </c>
      <c r="AJ67" s="139"/>
      <c r="AK67" s="134">
        <f t="shared" si="15"/>
        <v>59979.5</v>
      </c>
      <c r="AL67" s="55"/>
      <c r="AM67" s="134">
        <f t="shared" si="16"/>
        <v>59979.5</v>
      </c>
      <c r="AN67" s="139"/>
      <c r="AO67" s="134">
        <f t="shared" si="17"/>
        <v>59979.5</v>
      </c>
      <c r="AP67" s="149"/>
      <c r="AQ67" s="134">
        <f t="shared" si="56"/>
        <v>59979.5</v>
      </c>
      <c r="AR67" s="42">
        <v>67264.8</v>
      </c>
      <c r="AS67" s="42">
        <f t="shared" si="18"/>
        <v>7285.3</v>
      </c>
      <c r="AT67" s="42">
        <v>-6191.3</v>
      </c>
      <c r="AU67" s="42">
        <f t="shared" si="19"/>
        <v>61073.5</v>
      </c>
      <c r="AV67" s="42"/>
      <c r="AW67" s="87">
        <v>62642.2</v>
      </c>
      <c r="AX67" s="87"/>
      <c r="AY67" s="109">
        <f t="shared" si="38"/>
        <v>62642.2</v>
      </c>
      <c r="AZ67" s="40"/>
      <c r="BA67" s="105">
        <f t="shared" si="22"/>
        <v>62642.2</v>
      </c>
    </row>
    <row r="68" ht="50.25" customHeight="1" spans="1:53">
      <c r="A68" s="47" t="s">
        <v>54</v>
      </c>
      <c r="B68" s="55" t="s">
        <v>109</v>
      </c>
      <c r="C68" s="52" t="s">
        <v>120</v>
      </c>
      <c r="D68" s="42">
        <v>23405.7</v>
      </c>
      <c r="E68" s="51">
        <v>25308.6</v>
      </c>
      <c r="F68" s="51">
        <v>23154.8</v>
      </c>
      <c r="G68" s="51"/>
      <c r="H68" s="51">
        <f t="shared" si="53"/>
        <v>23154.8</v>
      </c>
      <c r="I68" s="42">
        <v>68.2</v>
      </c>
      <c r="J68" s="87">
        <f t="shared" si="54"/>
        <v>23223</v>
      </c>
      <c r="K68" s="95"/>
      <c r="L68" s="87">
        <f t="shared" si="55"/>
        <v>23223</v>
      </c>
      <c r="M68" s="95"/>
      <c r="N68" s="51">
        <v>326.7</v>
      </c>
      <c r="O68" s="89">
        <v>23549.7</v>
      </c>
      <c r="P68" s="91"/>
      <c r="Q68" s="89">
        <f t="shared" si="6"/>
        <v>23549.7</v>
      </c>
      <c r="R68" s="89">
        <v>22753.6</v>
      </c>
      <c r="S68" s="37">
        <f t="shared" si="11"/>
        <v>-796.100000000002</v>
      </c>
      <c r="T68" s="89">
        <v>298</v>
      </c>
      <c r="U68" s="89">
        <f t="shared" si="7"/>
        <v>23051.6</v>
      </c>
      <c r="V68" s="91">
        <v>1513.2</v>
      </c>
      <c r="W68" s="111">
        <v>22862.2</v>
      </c>
      <c r="X68" s="109">
        <f t="shared" si="13"/>
        <v>182.200000000001</v>
      </c>
      <c r="Y68" s="131">
        <v>23044.4</v>
      </c>
      <c r="Z68" s="95"/>
      <c r="AA68" s="131">
        <f t="shared" si="29"/>
        <v>23044.4</v>
      </c>
      <c r="AB68" s="134">
        <v>473.7</v>
      </c>
      <c r="AC68" s="133">
        <f t="shared" si="39"/>
        <v>23518.1</v>
      </c>
      <c r="AD68" s="115"/>
      <c r="AE68" s="133">
        <f t="shared" si="57"/>
        <v>23518.1</v>
      </c>
      <c r="AF68" s="95"/>
      <c r="AG68" s="134">
        <f t="shared" si="14"/>
        <v>23518.1</v>
      </c>
      <c r="AH68" s="115"/>
      <c r="AI68" s="134">
        <f t="shared" si="67"/>
        <v>23518.1</v>
      </c>
      <c r="AJ68" s="139"/>
      <c r="AK68" s="134">
        <f t="shared" si="15"/>
        <v>23518.1</v>
      </c>
      <c r="AL68" s="55"/>
      <c r="AM68" s="134">
        <f t="shared" si="16"/>
        <v>23518.1</v>
      </c>
      <c r="AN68" s="139"/>
      <c r="AO68" s="134">
        <f t="shared" si="17"/>
        <v>23518.1</v>
      </c>
      <c r="AP68" s="149"/>
      <c r="AQ68" s="134">
        <f t="shared" si="56"/>
        <v>23518.1</v>
      </c>
      <c r="AR68" s="42">
        <v>23991.9</v>
      </c>
      <c r="AS68" s="42">
        <f t="shared" si="18"/>
        <v>473.799999999999</v>
      </c>
      <c r="AT68" s="95"/>
      <c r="AU68" s="42">
        <f t="shared" si="19"/>
        <v>23991.9</v>
      </c>
      <c r="AV68" s="42"/>
      <c r="AW68" s="87">
        <v>25584.3</v>
      </c>
      <c r="AX68" s="87">
        <v>369.3</v>
      </c>
      <c r="AY68" s="109">
        <f t="shared" si="38"/>
        <v>25953.6</v>
      </c>
      <c r="AZ68" s="40"/>
      <c r="BA68" s="105">
        <f t="shared" si="22"/>
        <v>25953.6</v>
      </c>
    </row>
    <row r="69" ht="180.75" customHeight="1" spans="1:53">
      <c r="A69" s="47" t="s">
        <v>54</v>
      </c>
      <c r="B69" s="55" t="s">
        <v>109</v>
      </c>
      <c r="C69" s="52" t="s">
        <v>121</v>
      </c>
      <c r="D69" s="42">
        <v>1917.4</v>
      </c>
      <c r="E69" s="51">
        <v>1917.4</v>
      </c>
      <c r="F69" s="51">
        <v>1917.4</v>
      </c>
      <c r="G69" s="51"/>
      <c r="H69" s="51">
        <f t="shared" si="53"/>
        <v>1917.4</v>
      </c>
      <c r="I69" s="42"/>
      <c r="J69" s="87">
        <f t="shared" si="54"/>
        <v>1917.4</v>
      </c>
      <c r="K69" s="95"/>
      <c r="L69" s="87">
        <f t="shared" si="55"/>
        <v>1917.4</v>
      </c>
      <c r="M69" s="95"/>
      <c r="N69" s="51"/>
      <c r="O69" s="89">
        <v>2717.4</v>
      </c>
      <c r="P69" s="91">
        <v>213.4</v>
      </c>
      <c r="Q69" s="89">
        <f t="shared" si="6"/>
        <v>2930.8</v>
      </c>
      <c r="R69" s="89">
        <v>2717.4</v>
      </c>
      <c r="S69" s="37">
        <f t="shared" si="11"/>
        <v>-213.4</v>
      </c>
      <c r="T69" s="115"/>
      <c r="U69" s="89">
        <f t="shared" si="7"/>
        <v>2717.4</v>
      </c>
      <c r="V69" s="91">
        <v>300</v>
      </c>
      <c r="W69" s="111">
        <v>3500</v>
      </c>
      <c r="X69" s="109">
        <f t="shared" si="13"/>
        <v>-500</v>
      </c>
      <c r="Y69" s="131">
        <v>3000</v>
      </c>
      <c r="Z69" s="95"/>
      <c r="AA69" s="131">
        <f t="shared" si="29"/>
        <v>3000</v>
      </c>
      <c r="AB69" s="134"/>
      <c r="AC69" s="133">
        <f t="shared" si="39"/>
        <v>3000</v>
      </c>
      <c r="AD69" s="115"/>
      <c r="AE69" s="133">
        <f t="shared" si="57"/>
        <v>3000</v>
      </c>
      <c r="AF69" s="42">
        <v>1000</v>
      </c>
      <c r="AG69" s="134">
        <f t="shared" si="14"/>
        <v>4000</v>
      </c>
      <c r="AH69" s="115"/>
      <c r="AI69" s="134">
        <f t="shared" si="67"/>
        <v>4000</v>
      </c>
      <c r="AJ69" s="139"/>
      <c r="AK69" s="134">
        <f t="shared" si="15"/>
        <v>4000</v>
      </c>
      <c r="AL69" s="55"/>
      <c r="AM69" s="134">
        <f t="shared" si="16"/>
        <v>4000</v>
      </c>
      <c r="AN69" s="139"/>
      <c r="AO69" s="134">
        <f t="shared" si="17"/>
        <v>4000</v>
      </c>
      <c r="AP69" s="149"/>
      <c r="AQ69" s="134">
        <f t="shared" si="56"/>
        <v>4000</v>
      </c>
      <c r="AR69" s="42">
        <v>4000</v>
      </c>
      <c r="AS69" s="42">
        <f t="shared" si="18"/>
        <v>0</v>
      </c>
      <c r="AT69" s="95"/>
      <c r="AU69" s="42">
        <f t="shared" si="19"/>
        <v>4000</v>
      </c>
      <c r="AV69" s="42"/>
      <c r="AW69" s="87">
        <v>3500</v>
      </c>
      <c r="AX69" s="87">
        <v>500</v>
      </c>
      <c r="AY69" s="109">
        <f t="shared" si="38"/>
        <v>4000</v>
      </c>
      <c r="AZ69" s="40"/>
      <c r="BA69" s="105">
        <f t="shared" si="22"/>
        <v>4000</v>
      </c>
    </row>
    <row r="70" ht="79.5" customHeight="1" spans="1:53">
      <c r="A70" s="47" t="s">
        <v>57</v>
      </c>
      <c r="B70" s="55" t="s">
        <v>109</v>
      </c>
      <c r="C70" s="52" t="s">
        <v>122</v>
      </c>
      <c r="D70" s="42">
        <v>910.1</v>
      </c>
      <c r="E70" s="51">
        <v>597.5</v>
      </c>
      <c r="F70" s="51">
        <v>854.9</v>
      </c>
      <c r="G70" s="51"/>
      <c r="H70" s="51">
        <f t="shared" si="53"/>
        <v>854.9</v>
      </c>
      <c r="I70" s="42">
        <v>233.5</v>
      </c>
      <c r="J70" s="87">
        <f t="shared" si="54"/>
        <v>1088.4</v>
      </c>
      <c r="K70" s="95"/>
      <c r="L70" s="87">
        <f t="shared" si="55"/>
        <v>1088.4</v>
      </c>
      <c r="M70" s="95"/>
      <c r="N70" s="51"/>
      <c r="O70" s="89">
        <v>1088.4</v>
      </c>
      <c r="P70" s="91">
        <v>-209.7</v>
      </c>
      <c r="Q70" s="89">
        <f t="shared" si="6"/>
        <v>878.7</v>
      </c>
      <c r="R70" s="89">
        <v>878.7</v>
      </c>
      <c r="S70" s="37">
        <f t="shared" si="11"/>
        <v>0</v>
      </c>
      <c r="T70" s="115"/>
      <c r="U70" s="89">
        <f t="shared" si="7"/>
        <v>878.7</v>
      </c>
      <c r="V70" s="55"/>
      <c r="W70" s="111">
        <v>878.7</v>
      </c>
      <c r="X70" s="109">
        <f t="shared" si="13"/>
        <v>0</v>
      </c>
      <c r="Y70" s="131">
        <v>878.7</v>
      </c>
      <c r="Z70" s="95"/>
      <c r="AA70" s="131">
        <f t="shared" si="29"/>
        <v>878.7</v>
      </c>
      <c r="AB70" s="134"/>
      <c r="AC70" s="133">
        <f t="shared" si="39"/>
        <v>878.7</v>
      </c>
      <c r="AD70" s="115"/>
      <c r="AE70" s="133">
        <f t="shared" si="57"/>
        <v>878.7</v>
      </c>
      <c r="AF70" s="95"/>
      <c r="AG70" s="134">
        <f t="shared" si="14"/>
        <v>878.7</v>
      </c>
      <c r="AH70" s="115"/>
      <c r="AI70" s="134">
        <f t="shared" si="67"/>
        <v>878.7</v>
      </c>
      <c r="AJ70" s="139"/>
      <c r="AK70" s="134">
        <f t="shared" si="15"/>
        <v>878.7</v>
      </c>
      <c r="AL70" s="55"/>
      <c r="AM70" s="134">
        <f t="shared" si="16"/>
        <v>878.7</v>
      </c>
      <c r="AN70" s="139"/>
      <c r="AO70" s="134">
        <f t="shared" si="17"/>
        <v>878.7</v>
      </c>
      <c r="AP70" s="149"/>
      <c r="AQ70" s="134">
        <f t="shared" si="56"/>
        <v>878.7</v>
      </c>
      <c r="AR70" s="42">
        <v>878.7</v>
      </c>
      <c r="AS70" s="42">
        <f t="shared" si="18"/>
        <v>0</v>
      </c>
      <c r="AT70" s="95" t="s">
        <v>7</v>
      </c>
      <c r="AU70" s="42">
        <f t="shared" si="19"/>
        <v>878.7</v>
      </c>
      <c r="AV70" s="42"/>
      <c r="AW70" s="87">
        <f t="shared" si="28"/>
        <v>878.7</v>
      </c>
      <c r="AX70" s="87"/>
      <c r="AY70" s="109">
        <f t="shared" si="38"/>
        <v>878.7</v>
      </c>
      <c r="AZ70" s="40"/>
      <c r="BA70" s="105">
        <f t="shared" si="22"/>
        <v>878.7</v>
      </c>
    </row>
    <row r="71" s="6" customFormat="1" ht="56.25" spans="1:53">
      <c r="A71" s="47" t="s">
        <v>69</v>
      </c>
      <c r="B71" s="55" t="s">
        <v>109</v>
      </c>
      <c r="C71" s="49" t="s">
        <v>123</v>
      </c>
      <c r="D71" s="42">
        <v>502.7</v>
      </c>
      <c r="E71" s="51">
        <v>502.7</v>
      </c>
      <c r="F71" s="51">
        <v>502.7</v>
      </c>
      <c r="G71" s="51"/>
      <c r="H71" s="51">
        <f t="shared" ref="H71:H82" si="68">F71+G71</f>
        <v>502.7</v>
      </c>
      <c r="I71" s="42">
        <v>19.1</v>
      </c>
      <c r="J71" s="87">
        <f t="shared" ref="J71:J76" si="69">SUM(H71,I71)</f>
        <v>521.8</v>
      </c>
      <c r="K71" s="94"/>
      <c r="L71" s="87">
        <f t="shared" ref="L71:L76" si="70">SUM(J71,K71)</f>
        <v>521.8</v>
      </c>
      <c r="M71" s="94"/>
      <c r="N71" s="60"/>
      <c r="O71" s="89">
        <v>521.8</v>
      </c>
      <c r="P71" s="93"/>
      <c r="Q71" s="89">
        <f t="shared" si="6"/>
        <v>521.8</v>
      </c>
      <c r="R71" s="89">
        <v>535.7</v>
      </c>
      <c r="S71" s="37">
        <f t="shared" si="11"/>
        <v>13.9000000000001</v>
      </c>
      <c r="T71" s="89">
        <v>0</v>
      </c>
      <c r="U71" s="89">
        <f t="shared" si="7"/>
        <v>535.7</v>
      </c>
      <c r="V71" s="58"/>
      <c r="W71" s="111">
        <v>535.7</v>
      </c>
      <c r="X71" s="109">
        <f t="shared" si="13"/>
        <v>47.6999999999999</v>
      </c>
      <c r="Y71" s="131">
        <v>583.4</v>
      </c>
      <c r="Z71" s="135"/>
      <c r="AA71" s="131">
        <f t="shared" si="29"/>
        <v>583.4</v>
      </c>
      <c r="AB71" s="134"/>
      <c r="AC71" s="133">
        <f t="shared" si="39"/>
        <v>583.4</v>
      </c>
      <c r="AD71" s="115"/>
      <c r="AE71" s="133">
        <f t="shared" si="57"/>
        <v>583.4</v>
      </c>
      <c r="AF71" s="95"/>
      <c r="AG71" s="134">
        <f t="shared" si="14"/>
        <v>583.4</v>
      </c>
      <c r="AH71" s="117"/>
      <c r="AI71" s="134">
        <f t="shared" si="67"/>
        <v>583.4</v>
      </c>
      <c r="AJ71" s="42">
        <v>291.7</v>
      </c>
      <c r="AK71" s="134">
        <f t="shared" si="15"/>
        <v>875.1</v>
      </c>
      <c r="AL71" s="58"/>
      <c r="AM71" s="134">
        <f t="shared" si="16"/>
        <v>875.1</v>
      </c>
      <c r="AN71" s="143"/>
      <c r="AO71" s="134">
        <f t="shared" si="17"/>
        <v>875.1</v>
      </c>
      <c r="AP71" s="149"/>
      <c r="AQ71" s="134">
        <f t="shared" si="56"/>
        <v>875.1</v>
      </c>
      <c r="AR71" s="42">
        <v>1166.8</v>
      </c>
      <c r="AS71" s="42">
        <f t="shared" si="18"/>
        <v>291.7</v>
      </c>
      <c r="AT71" s="94"/>
      <c r="AU71" s="42">
        <f t="shared" si="19"/>
        <v>1166.8</v>
      </c>
      <c r="AV71" s="42"/>
      <c r="AW71" s="87">
        <v>1261.3</v>
      </c>
      <c r="AX71" s="87"/>
      <c r="AY71" s="109">
        <f t="shared" si="38"/>
        <v>1261.3</v>
      </c>
      <c r="AZ71" s="155"/>
      <c r="BA71" s="105">
        <f t="shared" si="22"/>
        <v>1261.3</v>
      </c>
    </row>
    <row r="72" s="6" customFormat="1" ht="58.5" customHeight="1" spans="1:53">
      <c r="A72" s="47" t="s">
        <v>69</v>
      </c>
      <c r="B72" s="55" t="s">
        <v>109</v>
      </c>
      <c r="C72" s="49" t="s">
        <v>124</v>
      </c>
      <c r="D72" s="42">
        <v>502.8</v>
      </c>
      <c r="E72" s="51">
        <v>502.8</v>
      </c>
      <c r="F72" s="51">
        <v>1005.5</v>
      </c>
      <c r="G72" s="51"/>
      <c r="H72" s="51">
        <f t="shared" si="68"/>
        <v>1005.5</v>
      </c>
      <c r="I72" s="42">
        <v>38.1</v>
      </c>
      <c r="J72" s="87">
        <f t="shared" si="69"/>
        <v>1043.6</v>
      </c>
      <c r="K72" s="94"/>
      <c r="L72" s="87">
        <f t="shared" si="70"/>
        <v>1043.6</v>
      </c>
      <c r="M72" s="94"/>
      <c r="N72" s="60"/>
      <c r="O72" s="89">
        <v>1043.6</v>
      </c>
      <c r="P72" s="93"/>
      <c r="Q72" s="89">
        <f t="shared" si="6"/>
        <v>1043.6</v>
      </c>
      <c r="R72" s="89">
        <v>1071.4</v>
      </c>
      <c r="S72" s="37">
        <f t="shared" si="11"/>
        <v>27.8000000000002</v>
      </c>
      <c r="T72" s="89">
        <v>0</v>
      </c>
      <c r="U72" s="89">
        <f t="shared" si="7"/>
        <v>1071.4</v>
      </c>
      <c r="V72" s="58"/>
      <c r="W72" s="111">
        <v>1071.4</v>
      </c>
      <c r="X72" s="109">
        <f t="shared" si="13"/>
        <v>95.3999999999999</v>
      </c>
      <c r="Y72" s="131">
        <v>1166.8</v>
      </c>
      <c r="Z72" s="135"/>
      <c r="AA72" s="131">
        <f t="shared" si="29"/>
        <v>1166.8</v>
      </c>
      <c r="AB72" s="134"/>
      <c r="AC72" s="133">
        <f t="shared" si="39"/>
        <v>1166.8</v>
      </c>
      <c r="AD72" s="115"/>
      <c r="AE72" s="133">
        <f t="shared" si="57"/>
        <v>1166.8</v>
      </c>
      <c r="AF72" s="95"/>
      <c r="AG72" s="134">
        <f t="shared" si="14"/>
        <v>1166.8</v>
      </c>
      <c r="AH72" s="117"/>
      <c r="AI72" s="134">
        <f t="shared" si="67"/>
        <v>1166.8</v>
      </c>
      <c r="AJ72" s="143"/>
      <c r="AK72" s="134">
        <f t="shared" si="15"/>
        <v>1166.8</v>
      </c>
      <c r="AL72" s="58"/>
      <c r="AM72" s="134">
        <f t="shared" si="16"/>
        <v>1166.8</v>
      </c>
      <c r="AN72" s="143"/>
      <c r="AO72" s="134">
        <f t="shared" si="17"/>
        <v>1166.8</v>
      </c>
      <c r="AP72" s="149"/>
      <c r="AQ72" s="134">
        <f t="shared" si="56"/>
        <v>1166.8</v>
      </c>
      <c r="AR72" s="42">
        <v>1166.8</v>
      </c>
      <c r="AS72" s="42">
        <f t="shared" si="18"/>
        <v>0</v>
      </c>
      <c r="AT72" s="94"/>
      <c r="AU72" s="42">
        <f t="shared" si="19"/>
        <v>1166.8</v>
      </c>
      <c r="AV72" s="42"/>
      <c r="AW72" s="87">
        <v>1261.3</v>
      </c>
      <c r="AX72" s="87"/>
      <c r="AY72" s="109">
        <f t="shared" si="38"/>
        <v>1261.3</v>
      </c>
      <c r="AZ72" s="155"/>
      <c r="BA72" s="105">
        <f t="shared" si="22"/>
        <v>1261.3</v>
      </c>
    </row>
    <row r="73" s="6" customFormat="1" ht="45" customHeight="1" spans="1:53">
      <c r="A73" s="47" t="s">
        <v>69</v>
      </c>
      <c r="B73" s="55" t="s">
        <v>109</v>
      </c>
      <c r="C73" s="61" t="s">
        <v>125</v>
      </c>
      <c r="D73" s="42">
        <v>132.5</v>
      </c>
      <c r="E73" s="51">
        <v>132.5</v>
      </c>
      <c r="F73" s="51">
        <v>132.5</v>
      </c>
      <c r="G73" s="51"/>
      <c r="H73" s="51">
        <f t="shared" si="68"/>
        <v>132.5</v>
      </c>
      <c r="I73" s="42">
        <v>3.7</v>
      </c>
      <c r="J73" s="87">
        <f t="shared" si="69"/>
        <v>136.2</v>
      </c>
      <c r="K73" s="94"/>
      <c r="L73" s="87">
        <f t="shared" si="70"/>
        <v>136.2</v>
      </c>
      <c r="M73" s="94"/>
      <c r="N73" s="60"/>
      <c r="O73" s="89">
        <v>136.2</v>
      </c>
      <c r="P73" s="93"/>
      <c r="Q73" s="89">
        <f t="shared" si="6"/>
        <v>136.2</v>
      </c>
      <c r="R73" s="89">
        <v>139</v>
      </c>
      <c r="S73" s="37">
        <f t="shared" si="11"/>
        <v>2.80000000000001</v>
      </c>
      <c r="T73" s="89">
        <v>0</v>
      </c>
      <c r="U73" s="89">
        <f t="shared" si="7"/>
        <v>139</v>
      </c>
      <c r="V73" s="58"/>
      <c r="W73" s="111">
        <v>139</v>
      </c>
      <c r="X73" s="109">
        <f t="shared" si="13"/>
        <v>9.19999999999999</v>
      </c>
      <c r="Y73" s="131">
        <v>148.2</v>
      </c>
      <c r="Z73" s="135"/>
      <c r="AA73" s="131">
        <f t="shared" si="29"/>
        <v>148.2</v>
      </c>
      <c r="AB73" s="134"/>
      <c r="AC73" s="133">
        <f t="shared" si="39"/>
        <v>148.2</v>
      </c>
      <c r="AD73" s="115"/>
      <c r="AE73" s="133">
        <f t="shared" si="57"/>
        <v>148.2</v>
      </c>
      <c r="AF73" s="95"/>
      <c r="AG73" s="134">
        <f t="shared" si="14"/>
        <v>148.2</v>
      </c>
      <c r="AH73" s="117"/>
      <c r="AI73" s="134">
        <f t="shared" si="67"/>
        <v>148.2</v>
      </c>
      <c r="AJ73" s="143"/>
      <c r="AK73" s="134">
        <f t="shared" si="15"/>
        <v>148.2</v>
      </c>
      <c r="AL73" s="58"/>
      <c r="AM73" s="134">
        <f t="shared" si="16"/>
        <v>148.2</v>
      </c>
      <c r="AN73" s="143"/>
      <c r="AO73" s="134">
        <f t="shared" si="17"/>
        <v>148.2</v>
      </c>
      <c r="AP73" s="149"/>
      <c r="AQ73" s="134">
        <f t="shared" si="56"/>
        <v>148.2</v>
      </c>
      <c r="AR73" s="42">
        <v>148.2</v>
      </c>
      <c r="AS73" s="42">
        <f t="shared" si="18"/>
        <v>0</v>
      </c>
      <c r="AT73" s="94"/>
      <c r="AU73" s="42">
        <f t="shared" si="19"/>
        <v>148.2</v>
      </c>
      <c r="AV73" s="42"/>
      <c r="AW73" s="87">
        <v>157.4</v>
      </c>
      <c r="AX73" s="87"/>
      <c r="AY73" s="109">
        <f t="shared" si="38"/>
        <v>157.4</v>
      </c>
      <c r="AZ73" s="155"/>
      <c r="BA73" s="105">
        <f t="shared" si="22"/>
        <v>157.4</v>
      </c>
    </row>
    <row r="74" s="6" customFormat="1" ht="75" hidden="1" spans="1:53">
      <c r="A74" s="64" t="s">
        <v>69</v>
      </c>
      <c r="B74" s="161" t="s">
        <v>109</v>
      </c>
      <c r="C74" s="49" t="s">
        <v>126</v>
      </c>
      <c r="D74" s="42">
        <v>502.7</v>
      </c>
      <c r="E74" s="51">
        <v>502.7</v>
      </c>
      <c r="F74" s="51">
        <v>502.7</v>
      </c>
      <c r="G74" s="51"/>
      <c r="H74" s="51">
        <f t="shared" si="68"/>
        <v>502.7</v>
      </c>
      <c r="I74" s="42">
        <v>19.1</v>
      </c>
      <c r="J74" s="87">
        <f t="shared" si="69"/>
        <v>521.8</v>
      </c>
      <c r="K74" s="94"/>
      <c r="L74" s="87">
        <f t="shared" si="70"/>
        <v>521.8</v>
      </c>
      <c r="M74" s="94"/>
      <c r="N74" s="60"/>
      <c r="O74" s="89">
        <v>521.8</v>
      </c>
      <c r="P74" s="93"/>
      <c r="Q74" s="89">
        <f t="shared" si="6"/>
        <v>521.8</v>
      </c>
      <c r="R74" s="89">
        <v>0</v>
      </c>
      <c r="S74" s="37">
        <f t="shared" si="11"/>
        <v>-521.8</v>
      </c>
      <c r="T74" s="89">
        <v>7.6</v>
      </c>
      <c r="U74" s="89">
        <v>7.55</v>
      </c>
      <c r="V74" s="209"/>
      <c r="W74" s="111">
        <v>7.6</v>
      </c>
      <c r="X74" s="109">
        <f t="shared" si="13"/>
        <v>0</v>
      </c>
      <c r="Y74" s="131">
        <v>7.6</v>
      </c>
      <c r="Z74" s="135"/>
      <c r="AA74" s="131">
        <f t="shared" si="29"/>
        <v>7.6</v>
      </c>
      <c r="AB74" s="134"/>
      <c r="AC74" s="133">
        <f t="shared" si="39"/>
        <v>7.6</v>
      </c>
      <c r="AD74" s="115"/>
      <c r="AE74" s="133">
        <f t="shared" si="57"/>
        <v>7.6</v>
      </c>
      <c r="AF74" s="95"/>
      <c r="AG74" s="134">
        <f t="shared" si="14"/>
        <v>7.6</v>
      </c>
      <c r="AH74" s="117"/>
      <c r="AI74" s="134">
        <f t="shared" si="67"/>
        <v>7.6</v>
      </c>
      <c r="AJ74" s="42">
        <v>-7.6</v>
      </c>
      <c r="AK74" s="134">
        <f t="shared" si="15"/>
        <v>0</v>
      </c>
      <c r="AL74" s="58"/>
      <c r="AM74" s="134">
        <f t="shared" si="16"/>
        <v>0</v>
      </c>
      <c r="AN74" s="143"/>
      <c r="AO74" s="134">
        <f t="shared" si="17"/>
        <v>0</v>
      </c>
      <c r="AP74" s="149"/>
      <c r="AQ74" s="134">
        <f t="shared" si="56"/>
        <v>0</v>
      </c>
      <c r="AR74" s="256"/>
      <c r="AS74" s="42">
        <f t="shared" si="18"/>
        <v>0</v>
      </c>
      <c r="AT74" s="94"/>
      <c r="AU74" s="42">
        <f t="shared" si="19"/>
        <v>0</v>
      </c>
      <c r="AV74" s="42"/>
      <c r="AW74" s="87">
        <f t="shared" si="28"/>
        <v>0</v>
      </c>
      <c r="AX74" s="87"/>
      <c r="AY74" s="109">
        <f t="shared" si="38"/>
        <v>0</v>
      </c>
      <c r="AZ74" s="155"/>
      <c r="BA74" s="105">
        <f t="shared" si="22"/>
        <v>0</v>
      </c>
    </row>
    <row r="75" s="6" customFormat="1" ht="85.5" customHeight="1" spans="1:53">
      <c r="A75" s="47" t="s">
        <v>49</v>
      </c>
      <c r="B75" s="55" t="s">
        <v>109</v>
      </c>
      <c r="C75" s="49" t="s">
        <v>127</v>
      </c>
      <c r="D75" s="42"/>
      <c r="E75" s="51"/>
      <c r="F75" s="51"/>
      <c r="G75" s="51"/>
      <c r="H75" s="51"/>
      <c r="I75" s="42"/>
      <c r="J75" s="87"/>
      <c r="K75" s="94"/>
      <c r="L75" s="87"/>
      <c r="M75" s="94"/>
      <c r="N75" s="60"/>
      <c r="O75" s="89"/>
      <c r="P75" s="93"/>
      <c r="Q75" s="89"/>
      <c r="R75" s="89"/>
      <c r="S75" s="37"/>
      <c r="T75" s="89"/>
      <c r="U75" s="89"/>
      <c r="V75" s="209"/>
      <c r="W75" s="111"/>
      <c r="X75" s="109"/>
      <c r="Y75" s="131"/>
      <c r="Z75" s="135"/>
      <c r="AA75" s="131"/>
      <c r="AB75" s="134"/>
      <c r="AC75" s="133"/>
      <c r="AD75" s="115"/>
      <c r="AE75" s="133"/>
      <c r="AF75" s="95"/>
      <c r="AG75" s="134"/>
      <c r="AH75" s="117"/>
      <c r="AI75" s="134"/>
      <c r="AJ75" s="42"/>
      <c r="AK75" s="134"/>
      <c r="AL75" s="58"/>
      <c r="AM75" s="134"/>
      <c r="AN75" s="143"/>
      <c r="AO75" s="134"/>
      <c r="AP75" s="149"/>
      <c r="AQ75" s="134"/>
      <c r="AR75" s="256"/>
      <c r="AS75" s="42"/>
      <c r="AT75" s="94"/>
      <c r="AU75" s="42"/>
      <c r="AV75" s="42"/>
      <c r="AW75" s="87">
        <v>3.8</v>
      </c>
      <c r="AX75" s="87"/>
      <c r="AY75" s="109">
        <f t="shared" si="38"/>
        <v>3.8</v>
      </c>
      <c r="AZ75" s="155"/>
      <c r="BA75" s="105">
        <f t="shared" si="22"/>
        <v>3.8</v>
      </c>
    </row>
    <row r="76" s="6" customFormat="1" ht="36" customHeight="1" spans="1:53">
      <c r="A76" s="47" t="s">
        <v>128</v>
      </c>
      <c r="B76" s="55" t="s">
        <v>109</v>
      </c>
      <c r="C76" s="61" t="s">
        <v>129</v>
      </c>
      <c r="D76" s="42">
        <v>41.8</v>
      </c>
      <c r="E76" s="51">
        <v>41.8</v>
      </c>
      <c r="F76" s="51">
        <v>65.9</v>
      </c>
      <c r="G76" s="51"/>
      <c r="H76" s="51">
        <f t="shared" si="68"/>
        <v>65.9</v>
      </c>
      <c r="I76" s="42">
        <v>2.4</v>
      </c>
      <c r="J76" s="87">
        <f t="shared" si="69"/>
        <v>68.3</v>
      </c>
      <c r="K76" s="94"/>
      <c r="L76" s="87">
        <f t="shared" si="70"/>
        <v>68.3</v>
      </c>
      <c r="M76" s="94"/>
      <c r="N76" s="60"/>
      <c r="O76" s="89">
        <v>68.3</v>
      </c>
      <c r="P76" s="93"/>
      <c r="Q76" s="89">
        <f t="shared" si="6"/>
        <v>68.3</v>
      </c>
      <c r="R76" s="89">
        <v>70</v>
      </c>
      <c r="S76" s="37">
        <f t="shared" si="11"/>
        <v>1.7</v>
      </c>
      <c r="T76" s="89">
        <v>0</v>
      </c>
      <c r="U76" s="89">
        <f t="shared" si="7"/>
        <v>70</v>
      </c>
      <c r="V76" s="58"/>
      <c r="W76" s="111">
        <v>74.7</v>
      </c>
      <c r="X76" s="109">
        <f t="shared" si="13"/>
        <v>6.2</v>
      </c>
      <c r="Y76" s="131">
        <v>80.9</v>
      </c>
      <c r="Z76" s="135"/>
      <c r="AA76" s="131">
        <f t="shared" si="29"/>
        <v>80.9</v>
      </c>
      <c r="AB76" s="134"/>
      <c r="AC76" s="133">
        <f t="shared" si="39"/>
        <v>80.9</v>
      </c>
      <c r="AD76" s="115"/>
      <c r="AE76" s="133">
        <f t="shared" si="57"/>
        <v>80.9</v>
      </c>
      <c r="AF76" s="95"/>
      <c r="AG76" s="134">
        <f t="shared" si="14"/>
        <v>80.9</v>
      </c>
      <c r="AH76" s="117"/>
      <c r="AI76" s="134">
        <f t="shared" si="67"/>
        <v>80.9</v>
      </c>
      <c r="AJ76" s="143"/>
      <c r="AK76" s="134">
        <f t="shared" si="15"/>
        <v>80.9</v>
      </c>
      <c r="AL76" s="58"/>
      <c r="AM76" s="134">
        <f t="shared" si="16"/>
        <v>80.9</v>
      </c>
      <c r="AN76" s="143"/>
      <c r="AO76" s="134">
        <f t="shared" si="17"/>
        <v>80.9</v>
      </c>
      <c r="AP76" s="149"/>
      <c r="AQ76" s="134">
        <f t="shared" si="56"/>
        <v>80.9</v>
      </c>
      <c r="AR76" s="42">
        <v>80.9</v>
      </c>
      <c r="AS76" s="42">
        <f t="shared" si="18"/>
        <v>0</v>
      </c>
      <c r="AT76" s="94"/>
      <c r="AU76" s="42">
        <f t="shared" si="19"/>
        <v>80.9</v>
      </c>
      <c r="AV76" s="42"/>
      <c r="AW76" s="87">
        <v>87.1</v>
      </c>
      <c r="AX76" s="87"/>
      <c r="AY76" s="109">
        <f t="shared" si="38"/>
        <v>87.1</v>
      </c>
      <c r="AZ76" s="155"/>
      <c r="BA76" s="105">
        <f t="shared" si="22"/>
        <v>87.1</v>
      </c>
    </row>
    <row r="77" s="6" customFormat="1" ht="1.5" customHeight="1" spans="1:53">
      <c r="A77" s="47" t="s">
        <v>49</v>
      </c>
      <c r="B77" s="55" t="s">
        <v>130</v>
      </c>
      <c r="C77" s="54" t="s">
        <v>131</v>
      </c>
      <c r="D77" s="42"/>
      <c r="E77" s="51"/>
      <c r="F77" s="51"/>
      <c r="G77" s="51"/>
      <c r="H77" s="51"/>
      <c r="I77" s="42"/>
      <c r="J77" s="87"/>
      <c r="K77" s="94"/>
      <c r="L77" s="87"/>
      <c r="M77" s="94"/>
      <c r="N77" s="60"/>
      <c r="O77" s="89"/>
      <c r="P77" s="93"/>
      <c r="Q77" s="89"/>
      <c r="R77" s="89">
        <v>0</v>
      </c>
      <c r="S77" s="37"/>
      <c r="T77" s="42">
        <v>245.7</v>
      </c>
      <c r="U77" s="89">
        <f t="shared" si="7"/>
        <v>245.7</v>
      </c>
      <c r="V77" s="58"/>
      <c r="W77" s="111"/>
      <c r="X77" s="109">
        <f t="shared" si="13"/>
        <v>0</v>
      </c>
      <c r="Y77" s="230"/>
      <c r="Z77" s="135"/>
      <c r="AA77" s="131">
        <f t="shared" si="29"/>
        <v>0</v>
      </c>
      <c r="AB77" s="134"/>
      <c r="AC77" s="133">
        <f t="shared" si="39"/>
        <v>0</v>
      </c>
      <c r="AD77" s="115"/>
      <c r="AE77" s="133">
        <f t="shared" si="57"/>
        <v>0</v>
      </c>
      <c r="AF77" s="95"/>
      <c r="AG77" s="134">
        <f t="shared" ref="AG77:AG108" si="71">SUM(AE77,AF77)</f>
        <v>0</v>
      </c>
      <c r="AH77" s="117"/>
      <c r="AI77" s="134">
        <f t="shared" si="67"/>
        <v>0</v>
      </c>
      <c r="AJ77" s="143"/>
      <c r="AK77" s="134">
        <f t="shared" si="15"/>
        <v>0</v>
      </c>
      <c r="AL77" s="58"/>
      <c r="AM77" s="134">
        <f t="shared" si="16"/>
        <v>0</v>
      </c>
      <c r="AN77" s="143"/>
      <c r="AO77" s="134">
        <f t="shared" si="17"/>
        <v>0</v>
      </c>
      <c r="AP77" s="149"/>
      <c r="AQ77" s="134">
        <f t="shared" si="56"/>
        <v>0</v>
      </c>
      <c r="AR77" s="256"/>
      <c r="AS77" s="42">
        <f t="shared" si="18"/>
        <v>0</v>
      </c>
      <c r="AT77" s="94"/>
      <c r="AU77" s="42">
        <f t="shared" si="19"/>
        <v>0</v>
      </c>
      <c r="AV77" s="42"/>
      <c r="AW77" s="87">
        <f t="shared" si="28"/>
        <v>0</v>
      </c>
      <c r="AX77" s="87"/>
      <c r="AY77" s="109">
        <f t="shared" si="38"/>
        <v>0</v>
      </c>
      <c r="AZ77" s="155"/>
      <c r="BA77" s="105">
        <f t="shared" si="22"/>
        <v>0</v>
      </c>
    </row>
    <row r="78" ht="57" customHeight="1" spans="1:53">
      <c r="A78" s="71" t="s">
        <v>49</v>
      </c>
      <c r="B78" s="58" t="s">
        <v>132</v>
      </c>
      <c r="C78" s="162" t="s">
        <v>133</v>
      </c>
      <c r="D78" s="63">
        <v>1</v>
      </c>
      <c r="E78" s="60">
        <v>1</v>
      </c>
      <c r="F78" s="60"/>
      <c r="G78" s="60"/>
      <c r="H78" s="51">
        <f t="shared" si="68"/>
        <v>0</v>
      </c>
      <c r="I78" s="42">
        <v>1</v>
      </c>
      <c r="J78" s="87">
        <f>SUM(H78,I78)</f>
        <v>1</v>
      </c>
      <c r="K78" s="95"/>
      <c r="L78" s="87">
        <f>SUM(J78,K78)</f>
        <v>1</v>
      </c>
      <c r="M78" s="95"/>
      <c r="N78" s="51"/>
      <c r="O78" s="89">
        <v>1</v>
      </c>
      <c r="P78" s="91"/>
      <c r="Q78" s="89">
        <f t="shared" si="6"/>
        <v>1</v>
      </c>
      <c r="R78" s="89">
        <v>1.3</v>
      </c>
      <c r="S78" s="37">
        <f t="shared" si="11"/>
        <v>0.3</v>
      </c>
      <c r="T78" s="115"/>
      <c r="U78" s="21">
        <f t="shared" si="7"/>
        <v>1.3</v>
      </c>
      <c r="V78" s="55"/>
      <c r="W78" s="111">
        <v>7.7</v>
      </c>
      <c r="X78" s="109">
        <f t="shared" si="13"/>
        <v>-0.2</v>
      </c>
      <c r="Y78" s="131">
        <v>7.5</v>
      </c>
      <c r="Z78" s="95">
        <v>0.054</v>
      </c>
      <c r="AA78" s="131">
        <f t="shared" si="29"/>
        <v>7.554</v>
      </c>
      <c r="AB78" s="134">
        <v>34.846</v>
      </c>
      <c r="AC78" s="133">
        <f t="shared" si="39"/>
        <v>42.4</v>
      </c>
      <c r="AD78" s="95">
        <v>0.008</v>
      </c>
      <c r="AE78" s="133">
        <f t="shared" si="57"/>
        <v>42.408</v>
      </c>
      <c r="AF78" s="95"/>
      <c r="AG78" s="134">
        <f t="shared" si="71"/>
        <v>42.408</v>
      </c>
      <c r="AH78" s="115"/>
      <c r="AI78" s="132">
        <f t="shared" si="67"/>
        <v>42.408</v>
      </c>
      <c r="AJ78" s="140"/>
      <c r="AK78" s="132">
        <f t="shared" si="15"/>
        <v>42.408</v>
      </c>
      <c r="AL78" s="55"/>
      <c r="AM78" s="134">
        <f t="shared" si="16"/>
        <v>42.408</v>
      </c>
      <c r="AN78" s="139"/>
      <c r="AO78" s="134">
        <f t="shared" si="17"/>
        <v>42.408</v>
      </c>
      <c r="AP78" s="149"/>
      <c r="AQ78" s="134">
        <f t="shared" si="56"/>
        <v>42.408</v>
      </c>
      <c r="AR78" s="42">
        <v>2.3</v>
      </c>
      <c r="AS78" s="42">
        <f t="shared" si="18"/>
        <v>-40.108</v>
      </c>
      <c r="AT78" s="95"/>
      <c r="AU78" s="42">
        <f t="shared" si="19"/>
        <v>2.3</v>
      </c>
      <c r="AV78" s="42"/>
      <c r="AW78" s="87">
        <f t="shared" si="28"/>
        <v>2.3</v>
      </c>
      <c r="AX78" s="87"/>
      <c r="AY78" s="109">
        <f t="shared" si="38"/>
        <v>2.3</v>
      </c>
      <c r="AZ78" s="40"/>
      <c r="BA78" s="105">
        <f t="shared" ref="BA78:BA108" si="72">SUM(AY78,AZ78)</f>
        <v>2.3</v>
      </c>
    </row>
    <row r="79" s="6" customFormat="1" ht="19.5" spans="1:53">
      <c r="A79" s="71" t="s">
        <v>35</v>
      </c>
      <c r="B79" s="58" t="s">
        <v>134</v>
      </c>
      <c r="C79" s="162" t="s">
        <v>135</v>
      </c>
      <c r="D79" s="50">
        <f t="shared" ref="D79:M79" si="73">SUM(D80:D82)</f>
        <v>442.8</v>
      </c>
      <c r="E79" s="60">
        <f t="shared" si="73"/>
        <v>442.8</v>
      </c>
      <c r="F79" s="60">
        <f t="shared" si="73"/>
        <v>442.8</v>
      </c>
      <c r="G79" s="60">
        <f t="shared" si="73"/>
        <v>0</v>
      </c>
      <c r="H79" s="60">
        <f t="shared" si="73"/>
        <v>442.8</v>
      </c>
      <c r="I79" s="92">
        <f t="shared" si="73"/>
        <v>0</v>
      </c>
      <c r="J79" s="60">
        <f t="shared" si="73"/>
        <v>442.8</v>
      </c>
      <c r="K79" s="60">
        <f t="shared" si="73"/>
        <v>0</v>
      </c>
      <c r="L79" s="60">
        <f t="shared" si="73"/>
        <v>442.8</v>
      </c>
      <c r="M79" s="60">
        <f t="shared" si="73"/>
        <v>0</v>
      </c>
      <c r="N79" s="60"/>
      <c r="O79" s="21">
        <f>SUM(O80:O82)</f>
        <v>442.8</v>
      </c>
      <c r="P79" s="60">
        <f>SUM(P80:P82)</f>
        <v>0</v>
      </c>
      <c r="Q79" s="21">
        <f t="shared" si="6"/>
        <v>442.8</v>
      </c>
      <c r="R79" s="21">
        <f t="shared" ref="R79:AU79" si="74">SUM(R80:R82)</f>
        <v>372.4</v>
      </c>
      <c r="S79" s="21">
        <f t="shared" si="74"/>
        <v>-70.4</v>
      </c>
      <c r="T79" s="21">
        <f t="shared" si="74"/>
        <v>0</v>
      </c>
      <c r="U79" s="21">
        <f t="shared" si="74"/>
        <v>372.4</v>
      </c>
      <c r="V79" s="21">
        <f t="shared" si="74"/>
        <v>10.4</v>
      </c>
      <c r="W79" s="21">
        <f t="shared" si="74"/>
        <v>382.8</v>
      </c>
      <c r="X79" s="100">
        <f t="shared" si="74"/>
        <v>997.7</v>
      </c>
      <c r="Y79" s="120">
        <f t="shared" si="74"/>
        <v>1395.1</v>
      </c>
      <c r="Z79" s="120">
        <f t="shared" si="74"/>
        <v>-0.018</v>
      </c>
      <c r="AA79" s="120">
        <f t="shared" si="74"/>
        <v>1395.082</v>
      </c>
      <c r="AB79" s="123">
        <f t="shared" si="74"/>
        <v>0</v>
      </c>
      <c r="AC79" s="123">
        <f t="shared" si="74"/>
        <v>1395.082</v>
      </c>
      <c r="AD79" s="123">
        <f t="shared" si="74"/>
        <v>0</v>
      </c>
      <c r="AE79" s="123">
        <f t="shared" si="74"/>
        <v>1395.082</v>
      </c>
      <c r="AF79" s="123">
        <f t="shared" si="74"/>
        <v>0</v>
      </c>
      <c r="AG79" s="123">
        <f t="shared" si="74"/>
        <v>1395.082</v>
      </c>
      <c r="AH79" s="132">
        <f t="shared" si="74"/>
        <v>81.65085</v>
      </c>
      <c r="AI79" s="132">
        <f t="shared" si="74"/>
        <v>1476.73285</v>
      </c>
      <c r="AJ79" s="132">
        <f t="shared" si="74"/>
        <v>29</v>
      </c>
      <c r="AK79" s="132">
        <f t="shared" si="74"/>
        <v>1505.73285</v>
      </c>
      <c r="AL79" s="132">
        <f t="shared" si="74"/>
        <v>0</v>
      </c>
      <c r="AM79" s="132">
        <f t="shared" si="74"/>
        <v>1505.73285</v>
      </c>
      <c r="AN79" s="132">
        <f t="shared" si="74"/>
        <v>0</v>
      </c>
      <c r="AO79" s="132">
        <f t="shared" si="74"/>
        <v>1505.73285</v>
      </c>
      <c r="AP79" s="134">
        <f t="shared" si="74"/>
        <v>0</v>
      </c>
      <c r="AQ79" s="132">
        <f t="shared" si="74"/>
        <v>1505.73285</v>
      </c>
      <c r="AR79" s="132">
        <f t="shared" si="74"/>
        <v>1368.7</v>
      </c>
      <c r="AS79" s="132">
        <f t="shared" si="74"/>
        <v>-137.03285</v>
      </c>
      <c r="AT79" s="132">
        <f t="shared" si="74"/>
        <v>0</v>
      </c>
      <c r="AU79" s="132">
        <f t="shared" si="74"/>
        <v>1368.7</v>
      </c>
      <c r="AV79" s="42"/>
      <c r="AW79" s="158">
        <f t="shared" ref="AW79:AY79" si="75">SUM(AW80:AW82)</f>
        <v>1370.638</v>
      </c>
      <c r="AX79" s="158">
        <f t="shared" si="75"/>
        <v>0</v>
      </c>
      <c r="AY79" s="158">
        <f t="shared" si="75"/>
        <v>1370.638</v>
      </c>
      <c r="AZ79" s="158">
        <f t="shared" ref="AZ79:BA79" si="76">SUM(AZ80:AZ82)</f>
        <v>0</v>
      </c>
      <c r="BA79" s="158">
        <f t="shared" si="76"/>
        <v>1370.638</v>
      </c>
    </row>
    <row r="80" s="3" customFormat="1" ht="57.75" customHeight="1" spans="1:53">
      <c r="A80" s="47" t="s">
        <v>54</v>
      </c>
      <c r="B80" s="55" t="s">
        <v>136</v>
      </c>
      <c r="C80" s="159" t="s">
        <v>137</v>
      </c>
      <c r="D80" s="42">
        <v>6.5</v>
      </c>
      <c r="E80" s="51">
        <v>6.5</v>
      </c>
      <c r="F80" s="51">
        <v>6.5</v>
      </c>
      <c r="G80" s="51"/>
      <c r="H80" s="51">
        <f t="shared" si="68"/>
        <v>6.5</v>
      </c>
      <c r="I80" s="42"/>
      <c r="J80" s="87">
        <f t="shared" ref="J80" si="77">SUM(H80,I80)</f>
        <v>6.5</v>
      </c>
      <c r="K80" s="94"/>
      <c r="L80" s="87">
        <f t="shared" ref="L80" si="78">SUM(J80,K80)</f>
        <v>6.5</v>
      </c>
      <c r="M80" s="94"/>
      <c r="N80" s="60"/>
      <c r="O80" s="89">
        <v>6.5</v>
      </c>
      <c r="P80" s="93"/>
      <c r="Q80" s="89">
        <f t="shared" ref="Q80" si="79">P80+O80</f>
        <v>6.5</v>
      </c>
      <c r="R80" s="89">
        <v>5.5</v>
      </c>
      <c r="S80" s="37">
        <f t="shared" ref="S80" si="80">R80-Q80</f>
        <v>-1</v>
      </c>
      <c r="T80" s="89">
        <v>0</v>
      </c>
      <c r="U80" s="89">
        <f t="shared" ref="U80" si="81">R80+T80</f>
        <v>5.5</v>
      </c>
      <c r="V80" s="91">
        <v>0.2</v>
      </c>
      <c r="W80" s="111">
        <v>5.7</v>
      </c>
      <c r="X80" s="109">
        <f t="shared" ref="X80:X99" si="82">SUM(Y80-W80)</f>
        <v>966.6</v>
      </c>
      <c r="Y80" s="131">
        <v>972.3</v>
      </c>
      <c r="Z80" s="95">
        <v>-0.002</v>
      </c>
      <c r="AA80" s="131">
        <f t="shared" ref="AA80:AA81" si="83">SUM(Y80,Z80)</f>
        <v>972.298</v>
      </c>
      <c r="AB80" s="134"/>
      <c r="AC80" s="133">
        <f t="shared" ref="AC80:AC81" si="84">SUM(AA80:AB80)</f>
        <v>972.298</v>
      </c>
      <c r="AD80" s="115"/>
      <c r="AE80" s="133">
        <f t="shared" ref="AE80:AE81" si="85">SUM(AC80,AD80)</f>
        <v>972.298</v>
      </c>
      <c r="AF80" s="95"/>
      <c r="AG80" s="134">
        <f t="shared" si="71"/>
        <v>972.298</v>
      </c>
      <c r="AH80" s="42">
        <v>80.44419</v>
      </c>
      <c r="AI80" s="134">
        <f>SUM(AG80,AH80)</f>
        <v>1052.74219</v>
      </c>
      <c r="AJ80" s="143"/>
      <c r="AK80" s="134">
        <f t="shared" ref="AK80:AK108" si="86">SUM(AI80,AJ80)</f>
        <v>1052.74219</v>
      </c>
      <c r="AL80" s="58"/>
      <c r="AM80" s="134">
        <f t="shared" ref="AM80:AM108" si="87">SUM(AK80,AL80)</f>
        <v>1052.74219</v>
      </c>
      <c r="AN80" s="143"/>
      <c r="AO80" s="134">
        <f t="shared" ref="AO80:AO108" si="88">SUM(AM80,AN80)</f>
        <v>1052.74219</v>
      </c>
      <c r="AP80" s="149"/>
      <c r="AQ80" s="134">
        <f t="shared" ref="AQ80:AQ82" si="89">SUM(AO80,AP80)</f>
        <v>1052.74219</v>
      </c>
      <c r="AR80" s="42">
        <v>930.6</v>
      </c>
      <c r="AS80" s="42">
        <f t="shared" ref="AS80:AS81" si="90">SUM(AR80-AQ80)</f>
        <v>-122.14219</v>
      </c>
      <c r="AT80" s="94"/>
      <c r="AU80" s="42">
        <f t="shared" ref="AU80:AU81" si="91">SUM(AR80,AT80)</f>
        <v>930.6</v>
      </c>
      <c r="AV80" s="42"/>
      <c r="AW80" s="87">
        <v>930.579</v>
      </c>
      <c r="AX80" s="87"/>
      <c r="AY80" s="109">
        <f t="shared" si="38"/>
        <v>930.579</v>
      </c>
      <c r="AZ80" s="35"/>
      <c r="BA80" s="105">
        <f t="shared" si="72"/>
        <v>930.579</v>
      </c>
    </row>
    <row r="81" s="3" customFormat="1" ht="57.75" customHeight="1" spans="1:53">
      <c r="A81" s="47" t="s">
        <v>54</v>
      </c>
      <c r="B81" s="55" t="s">
        <v>138</v>
      </c>
      <c r="C81" s="159" t="s">
        <v>139</v>
      </c>
      <c r="D81" s="42"/>
      <c r="E81" s="51"/>
      <c r="F81" s="51"/>
      <c r="G81" s="51"/>
      <c r="H81" s="51"/>
      <c r="I81" s="42"/>
      <c r="J81" s="87"/>
      <c r="K81" s="94"/>
      <c r="L81" s="87"/>
      <c r="M81" s="94"/>
      <c r="N81" s="60"/>
      <c r="O81" s="89"/>
      <c r="P81" s="93"/>
      <c r="Q81" s="89"/>
      <c r="R81" s="89"/>
      <c r="S81" s="37"/>
      <c r="T81" s="89"/>
      <c r="U81" s="89"/>
      <c r="V81" s="91"/>
      <c r="W81" s="111"/>
      <c r="X81" s="109"/>
      <c r="Y81" s="131">
        <v>14.6</v>
      </c>
      <c r="Z81" s="95">
        <v>-0.016</v>
      </c>
      <c r="AA81" s="131">
        <f t="shared" si="83"/>
        <v>14.584</v>
      </c>
      <c r="AB81" s="134"/>
      <c r="AC81" s="133">
        <f t="shared" si="84"/>
        <v>14.584</v>
      </c>
      <c r="AD81" s="115"/>
      <c r="AE81" s="133">
        <f t="shared" si="85"/>
        <v>14.584</v>
      </c>
      <c r="AF81" s="95"/>
      <c r="AG81" s="134">
        <f t="shared" si="71"/>
        <v>14.584</v>
      </c>
      <c r="AH81" s="42">
        <v>1.20666</v>
      </c>
      <c r="AI81" s="134">
        <f t="shared" ref="AI81" si="92">SUM(AG81,AH81)</f>
        <v>15.79066</v>
      </c>
      <c r="AJ81" s="143"/>
      <c r="AK81" s="134">
        <f t="shared" si="86"/>
        <v>15.79066</v>
      </c>
      <c r="AL81" s="58"/>
      <c r="AM81" s="134">
        <f t="shared" si="87"/>
        <v>15.79066</v>
      </c>
      <c r="AN81" s="143"/>
      <c r="AO81" s="134">
        <f t="shared" si="88"/>
        <v>15.79066</v>
      </c>
      <c r="AP81" s="149"/>
      <c r="AQ81" s="134">
        <f t="shared" si="89"/>
        <v>15.79066</v>
      </c>
      <c r="AR81" s="42">
        <v>14</v>
      </c>
      <c r="AS81" s="42">
        <f t="shared" si="90"/>
        <v>-1.79066</v>
      </c>
      <c r="AT81" s="94"/>
      <c r="AU81" s="42">
        <f t="shared" si="91"/>
        <v>14</v>
      </c>
      <c r="AV81" s="42"/>
      <c r="AW81" s="87">
        <v>13.959</v>
      </c>
      <c r="AX81" s="87"/>
      <c r="AY81" s="109">
        <f t="shared" si="38"/>
        <v>13.959</v>
      </c>
      <c r="AZ81" s="35"/>
      <c r="BA81" s="105">
        <f t="shared" si="72"/>
        <v>13.959</v>
      </c>
    </row>
    <row r="82" s="3" customFormat="1" ht="120" customHeight="1" spans="1:53">
      <c r="A82" s="47" t="s">
        <v>54</v>
      </c>
      <c r="B82" s="55" t="s">
        <v>134</v>
      </c>
      <c r="C82" s="163" t="s">
        <v>140</v>
      </c>
      <c r="D82" s="42">
        <v>436.3</v>
      </c>
      <c r="E82" s="51">
        <v>436.3</v>
      </c>
      <c r="F82" s="51">
        <v>436.3</v>
      </c>
      <c r="G82" s="51"/>
      <c r="H82" s="51">
        <f t="shared" si="68"/>
        <v>436.3</v>
      </c>
      <c r="I82" s="63"/>
      <c r="J82" s="87">
        <f>SUM(H82,I82)</f>
        <v>436.3</v>
      </c>
      <c r="K82" s="88"/>
      <c r="L82" s="87">
        <f>SUM(J82,K82)</f>
        <v>436.3</v>
      </c>
      <c r="M82" s="88"/>
      <c r="N82" s="37"/>
      <c r="O82" s="89">
        <v>436.3</v>
      </c>
      <c r="P82" s="90"/>
      <c r="Q82" s="89">
        <f t="shared" si="6"/>
        <v>436.3</v>
      </c>
      <c r="R82" s="89">
        <v>366.9</v>
      </c>
      <c r="S82" s="37">
        <f t="shared" si="11"/>
        <v>-69.4</v>
      </c>
      <c r="T82" s="89">
        <v>0</v>
      </c>
      <c r="U82" s="89">
        <f t="shared" si="7"/>
        <v>366.9</v>
      </c>
      <c r="V82" s="91">
        <v>10.2</v>
      </c>
      <c r="W82" s="111">
        <v>377.1</v>
      </c>
      <c r="X82" s="109">
        <f t="shared" si="82"/>
        <v>31.1</v>
      </c>
      <c r="Y82" s="131">
        <v>408.2</v>
      </c>
      <c r="Z82" s="95"/>
      <c r="AA82" s="131">
        <f t="shared" si="29"/>
        <v>408.2</v>
      </c>
      <c r="AB82" s="132" t="s">
        <v>7</v>
      </c>
      <c r="AC82" s="133">
        <f t="shared" ref="AC82:AC99" si="93">SUM(AA82:AB82)</f>
        <v>408.2</v>
      </c>
      <c r="AD82" s="110"/>
      <c r="AE82" s="133">
        <f t="shared" si="57"/>
        <v>408.2</v>
      </c>
      <c r="AF82" s="88"/>
      <c r="AG82" s="134">
        <f t="shared" si="71"/>
        <v>408.2</v>
      </c>
      <c r="AH82" s="110"/>
      <c r="AI82" s="134">
        <f t="shared" si="67"/>
        <v>408.2</v>
      </c>
      <c r="AJ82" s="42">
        <v>29</v>
      </c>
      <c r="AK82" s="134">
        <f t="shared" si="86"/>
        <v>437.2</v>
      </c>
      <c r="AL82" s="108"/>
      <c r="AM82" s="134">
        <f t="shared" si="87"/>
        <v>437.2</v>
      </c>
      <c r="AN82" s="140"/>
      <c r="AO82" s="134">
        <f t="shared" si="88"/>
        <v>437.2</v>
      </c>
      <c r="AP82" s="149"/>
      <c r="AQ82" s="134">
        <f t="shared" si="89"/>
        <v>437.2</v>
      </c>
      <c r="AR82" s="42">
        <v>424.1</v>
      </c>
      <c r="AS82" s="42">
        <f t="shared" ref="AS82:AS108" si="94">SUM(AR82-AQ82)</f>
        <v>-13.1</v>
      </c>
      <c r="AT82" s="88"/>
      <c r="AU82" s="42">
        <f t="shared" si="19"/>
        <v>424.1</v>
      </c>
      <c r="AV82" s="42"/>
      <c r="AW82" s="87">
        <v>426.1</v>
      </c>
      <c r="AX82" s="87"/>
      <c r="AY82" s="109">
        <f t="shared" si="38"/>
        <v>426.1</v>
      </c>
      <c r="AZ82" s="35"/>
      <c r="BA82" s="105">
        <f t="shared" si="72"/>
        <v>426.1</v>
      </c>
    </row>
    <row r="83" s="3" customFormat="1" ht="33.75" customHeight="1" spans="1:53">
      <c r="A83" s="67" t="s">
        <v>35</v>
      </c>
      <c r="B83" s="108" t="s">
        <v>141</v>
      </c>
      <c r="C83" s="164" t="s">
        <v>142</v>
      </c>
      <c r="D83" s="37">
        <f t="shared" ref="D83:I83" si="95">SUM(D93:D99)</f>
        <v>2743.88</v>
      </c>
      <c r="E83" s="37">
        <f t="shared" si="95"/>
        <v>2743.88</v>
      </c>
      <c r="F83" s="37">
        <f t="shared" si="95"/>
        <v>0</v>
      </c>
      <c r="G83" s="37">
        <f t="shared" si="95"/>
        <v>0</v>
      </c>
      <c r="H83" s="37">
        <f t="shared" si="95"/>
        <v>0</v>
      </c>
      <c r="I83" s="86">
        <f t="shared" si="95"/>
        <v>2823.976</v>
      </c>
      <c r="J83" s="37">
        <f>SUM(J93:K99)</f>
        <v>2823.976</v>
      </c>
      <c r="K83" s="37">
        <f>SUM(K93:K99)</f>
        <v>0</v>
      </c>
      <c r="L83" s="37">
        <f>SUM(L93:L99)</f>
        <v>0</v>
      </c>
      <c r="M83" s="37">
        <f>SUM(M93:M99)</f>
        <v>0</v>
      </c>
      <c r="N83" s="37">
        <f>SUM(N93:N99)</f>
        <v>0</v>
      </c>
      <c r="O83" s="21">
        <f>SUM(O91:O99)</f>
        <v>6479.976</v>
      </c>
      <c r="P83" s="37">
        <f>SUM(P91:P99)</f>
        <v>0</v>
      </c>
      <c r="Q83" s="21" t="e">
        <f>Q91+#REF!+Q99+#REF!</f>
        <v>#REF!</v>
      </c>
      <c r="R83" s="21">
        <f t="shared" ref="R83:AD83" si="96">SUM(R91:R99)</f>
        <v>13743.576</v>
      </c>
      <c r="S83" s="21">
        <f t="shared" si="96"/>
        <v>7263.6</v>
      </c>
      <c r="T83" s="21">
        <f t="shared" si="96"/>
        <v>-0.001</v>
      </c>
      <c r="U83" s="21">
        <f t="shared" si="96"/>
        <v>8364.475</v>
      </c>
      <c r="V83" s="21">
        <f t="shared" si="96"/>
        <v>0</v>
      </c>
      <c r="W83" s="21">
        <f t="shared" si="96"/>
        <v>8429.757</v>
      </c>
      <c r="X83" s="100">
        <f t="shared" si="96"/>
        <v>0</v>
      </c>
      <c r="Y83" s="120">
        <f t="shared" si="96"/>
        <v>8429.757</v>
      </c>
      <c r="Z83" s="120">
        <f t="shared" si="96"/>
        <v>1002.835</v>
      </c>
      <c r="AA83" s="120">
        <f t="shared" si="96"/>
        <v>9432.592</v>
      </c>
      <c r="AB83" s="123">
        <f t="shared" si="96"/>
        <v>84.3</v>
      </c>
      <c r="AC83" s="123">
        <f t="shared" si="96"/>
        <v>9516.892</v>
      </c>
      <c r="AD83" s="123">
        <f t="shared" si="96"/>
        <v>0</v>
      </c>
      <c r="AE83" s="123">
        <f>SUM(AE84:AE99)</f>
        <v>9516.892</v>
      </c>
      <c r="AF83" s="123">
        <f>SUM(AF84:AF99)</f>
        <v>11404.2</v>
      </c>
      <c r="AG83" s="123">
        <f>SUM(AG84:AG99)</f>
        <v>20921.092</v>
      </c>
      <c r="AH83" s="132">
        <f>SUM(AH84:AH99)</f>
        <v>1968.1198</v>
      </c>
      <c r="AI83" s="132">
        <f>SUM(AI84:AI99)</f>
        <v>22889.2118</v>
      </c>
      <c r="AJ83" s="132">
        <f t="shared" ref="AJ83:AU83" si="97">SUM(AJ84:AJ99)</f>
        <v>2422.8592</v>
      </c>
      <c r="AK83" s="132">
        <f t="shared" si="97"/>
        <v>25312.071</v>
      </c>
      <c r="AL83" s="132">
        <f t="shared" si="97"/>
        <v>0</v>
      </c>
      <c r="AM83" s="132">
        <f t="shared" si="97"/>
        <v>25312.071</v>
      </c>
      <c r="AN83" s="132">
        <f t="shared" si="97"/>
        <v>3172.09132</v>
      </c>
      <c r="AO83" s="132">
        <f t="shared" si="97"/>
        <v>28484.16232</v>
      </c>
      <c r="AP83" s="134">
        <f t="shared" si="97"/>
        <v>0</v>
      </c>
      <c r="AQ83" s="132">
        <f t="shared" si="97"/>
        <v>28484.16232</v>
      </c>
      <c r="AR83" s="132">
        <f t="shared" si="97"/>
        <v>8659.534</v>
      </c>
      <c r="AS83" s="132">
        <f t="shared" si="97"/>
        <v>-19824.62832</v>
      </c>
      <c r="AT83" s="132">
        <f t="shared" si="97"/>
        <v>2844.788</v>
      </c>
      <c r="AU83" s="132">
        <f t="shared" si="97"/>
        <v>11504.322</v>
      </c>
      <c r="AV83" s="42"/>
      <c r="AW83" s="157">
        <f t="shared" ref="AW83:AY83" si="98">SUM(AW84:AW99)</f>
        <v>16920.50516</v>
      </c>
      <c r="AX83" s="157">
        <f t="shared" si="98"/>
        <v>23822.5</v>
      </c>
      <c r="AY83" s="157">
        <f t="shared" si="98"/>
        <v>40743.00516</v>
      </c>
      <c r="AZ83" s="157">
        <f t="shared" ref="AZ83:BA83" si="99">SUM(AZ84:AZ99)</f>
        <v>0</v>
      </c>
      <c r="BA83" s="157">
        <f t="shared" si="99"/>
        <v>40743.00516</v>
      </c>
    </row>
    <row r="84" s="3" customFormat="1" ht="81" customHeight="1" spans="1:53">
      <c r="A84" s="47" t="s">
        <v>49</v>
      </c>
      <c r="B84" s="55" t="s">
        <v>143</v>
      </c>
      <c r="C84" s="163" t="s">
        <v>144</v>
      </c>
      <c r="D84" s="51"/>
      <c r="E84" s="51"/>
      <c r="F84" s="51"/>
      <c r="G84" s="51"/>
      <c r="H84" s="51"/>
      <c r="I84" s="148"/>
      <c r="J84" s="51"/>
      <c r="K84" s="51"/>
      <c r="L84" s="51"/>
      <c r="M84" s="51"/>
      <c r="N84" s="51"/>
      <c r="O84" s="89"/>
      <c r="P84" s="51"/>
      <c r="Q84" s="89"/>
      <c r="R84" s="89"/>
      <c r="S84" s="89"/>
      <c r="T84" s="89"/>
      <c r="U84" s="89"/>
      <c r="V84" s="89"/>
      <c r="W84" s="89"/>
      <c r="X84" s="87"/>
      <c r="Y84" s="231"/>
      <c r="Z84" s="231"/>
      <c r="AA84" s="231"/>
      <c r="AB84" s="133"/>
      <c r="AC84" s="133"/>
      <c r="AD84" s="133"/>
      <c r="AE84" s="133">
        <v>0</v>
      </c>
      <c r="AF84" s="133">
        <v>79.2</v>
      </c>
      <c r="AG84" s="134">
        <f t="shared" si="71"/>
        <v>79.2</v>
      </c>
      <c r="AH84" s="110"/>
      <c r="AI84" s="134">
        <f t="shared" si="67"/>
        <v>79.2</v>
      </c>
      <c r="AJ84" s="140"/>
      <c r="AK84" s="134">
        <f t="shared" si="86"/>
        <v>79.2</v>
      </c>
      <c r="AL84" s="108"/>
      <c r="AM84" s="134">
        <f t="shared" si="87"/>
        <v>79.2</v>
      </c>
      <c r="AN84" s="140"/>
      <c r="AO84" s="134">
        <f t="shared" si="88"/>
        <v>79.2</v>
      </c>
      <c r="AP84" s="149"/>
      <c r="AQ84" s="134">
        <f t="shared" ref="AQ84:AQ91" si="100">SUM(AO84,AP84)</f>
        <v>79.2</v>
      </c>
      <c r="AR84" s="42"/>
      <c r="AS84" s="42">
        <f t="shared" si="94"/>
        <v>-79.2</v>
      </c>
      <c r="AT84" s="88"/>
      <c r="AU84" s="42">
        <f t="shared" ref="AU84:AU99" si="101">SUM(AR84,AT84)</f>
        <v>0</v>
      </c>
      <c r="AV84" s="42"/>
      <c r="AW84" s="87">
        <v>39.68316</v>
      </c>
      <c r="AX84" s="87"/>
      <c r="AY84" s="109">
        <f t="shared" ref="AY84:AY90" si="102">SUM(AW84:AX84)</f>
        <v>39.68316</v>
      </c>
      <c r="AZ84" s="35"/>
      <c r="BA84" s="105">
        <f t="shared" si="72"/>
        <v>39.68316</v>
      </c>
    </row>
    <row r="85" s="3" customFormat="1" ht="75" customHeight="1" spans="1:53">
      <c r="A85" s="47" t="s">
        <v>49</v>
      </c>
      <c r="B85" s="55" t="s">
        <v>143</v>
      </c>
      <c r="C85" s="163" t="s">
        <v>145</v>
      </c>
      <c r="D85" s="51"/>
      <c r="E85" s="51"/>
      <c r="F85" s="51"/>
      <c r="G85" s="51"/>
      <c r="H85" s="51"/>
      <c r="I85" s="148"/>
      <c r="J85" s="51"/>
      <c r="K85" s="51"/>
      <c r="L85" s="51"/>
      <c r="M85" s="51"/>
      <c r="N85" s="51"/>
      <c r="O85" s="89"/>
      <c r="P85" s="51"/>
      <c r="Q85" s="89"/>
      <c r="R85" s="89"/>
      <c r="S85" s="89"/>
      <c r="T85" s="89"/>
      <c r="U85" s="89"/>
      <c r="V85" s="89"/>
      <c r="W85" s="89"/>
      <c r="X85" s="87"/>
      <c r="Y85" s="231"/>
      <c r="Z85" s="231"/>
      <c r="AA85" s="231"/>
      <c r="AB85" s="133"/>
      <c r="AC85" s="133"/>
      <c r="AD85" s="133"/>
      <c r="AE85" s="133">
        <v>0</v>
      </c>
      <c r="AF85" s="133">
        <v>7840</v>
      </c>
      <c r="AG85" s="134">
        <f t="shared" ref="AG85:AG91" si="103">SUM(AE85,AF85)</f>
        <v>7840</v>
      </c>
      <c r="AH85" s="110"/>
      <c r="AI85" s="134">
        <f t="shared" si="67"/>
        <v>7840</v>
      </c>
      <c r="AJ85" s="140"/>
      <c r="AK85" s="134">
        <f t="shared" si="86"/>
        <v>7840</v>
      </c>
      <c r="AL85" s="108"/>
      <c r="AM85" s="134">
        <f t="shared" si="87"/>
        <v>7840</v>
      </c>
      <c r="AN85" s="140"/>
      <c r="AO85" s="134">
        <f t="shared" si="88"/>
        <v>7840</v>
      </c>
      <c r="AP85" s="149"/>
      <c r="AQ85" s="134">
        <f t="shared" si="100"/>
        <v>7840</v>
      </c>
      <c r="AR85" s="42"/>
      <c r="AS85" s="42">
        <f t="shared" si="94"/>
        <v>-7840</v>
      </c>
      <c r="AT85" s="88"/>
      <c r="AU85" s="42">
        <f t="shared" si="101"/>
        <v>0</v>
      </c>
      <c r="AV85" s="42"/>
      <c r="AW85" s="87">
        <v>3926</v>
      </c>
      <c r="AX85" s="87"/>
      <c r="AY85" s="109">
        <f t="shared" si="102"/>
        <v>3926</v>
      </c>
      <c r="AZ85" s="35"/>
      <c r="BA85" s="105">
        <f t="shared" si="72"/>
        <v>3926</v>
      </c>
    </row>
    <row r="86" s="3" customFormat="1" ht="67.5" customHeight="1" spans="1:53">
      <c r="A86" s="47" t="s">
        <v>49</v>
      </c>
      <c r="B86" s="55" t="s">
        <v>146</v>
      </c>
      <c r="C86" s="163" t="s">
        <v>147</v>
      </c>
      <c r="D86" s="51"/>
      <c r="E86" s="51"/>
      <c r="F86" s="51"/>
      <c r="G86" s="51"/>
      <c r="H86" s="51"/>
      <c r="I86" s="148"/>
      <c r="J86" s="51"/>
      <c r="K86" s="51"/>
      <c r="L86" s="51"/>
      <c r="M86" s="51"/>
      <c r="N86" s="51"/>
      <c r="O86" s="89"/>
      <c r="P86" s="51"/>
      <c r="Q86" s="89"/>
      <c r="R86" s="89"/>
      <c r="S86" s="89"/>
      <c r="T86" s="89"/>
      <c r="U86" s="89"/>
      <c r="V86" s="89"/>
      <c r="W86" s="89"/>
      <c r="X86" s="87"/>
      <c r="Y86" s="231"/>
      <c r="Z86" s="231"/>
      <c r="AA86" s="231"/>
      <c r="AB86" s="133"/>
      <c r="AC86" s="133"/>
      <c r="AD86" s="133"/>
      <c r="AE86" s="133">
        <v>0</v>
      </c>
      <c r="AF86" s="133">
        <v>1785</v>
      </c>
      <c r="AG86" s="134">
        <f t="shared" si="103"/>
        <v>1785</v>
      </c>
      <c r="AH86" s="110"/>
      <c r="AI86" s="134">
        <f t="shared" si="67"/>
        <v>1785</v>
      </c>
      <c r="AJ86" s="140"/>
      <c r="AK86" s="134">
        <f t="shared" si="86"/>
        <v>1785</v>
      </c>
      <c r="AL86" s="108"/>
      <c r="AM86" s="134">
        <f t="shared" si="87"/>
        <v>1785</v>
      </c>
      <c r="AN86" s="140"/>
      <c r="AO86" s="134">
        <f t="shared" si="88"/>
        <v>1785</v>
      </c>
      <c r="AP86" s="149"/>
      <c r="AQ86" s="134">
        <f t="shared" si="100"/>
        <v>1785</v>
      </c>
      <c r="AR86" s="42"/>
      <c r="AS86" s="42">
        <f t="shared" si="94"/>
        <v>-1785</v>
      </c>
      <c r="AT86" s="88"/>
      <c r="AU86" s="42">
        <f t="shared" si="101"/>
        <v>0</v>
      </c>
      <c r="AV86" s="42"/>
      <c r="AW86" s="87">
        <f t="shared" si="28"/>
        <v>0</v>
      </c>
      <c r="AX86" s="87">
        <v>596.4</v>
      </c>
      <c r="AY86" s="109">
        <f t="shared" si="102"/>
        <v>596.4</v>
      </c>
      <c r="AZ86" s="35"/>
      <c r="BA86" s="105">
        <f t="shared" si="72"/>
        <v>596.4</v>
      </c>
    </row>
    <row r="87" s="3" customFormat="1" ht="44.25" customHeight="1" spans="1:53">
      <c r="A87" s="47" t="s">
        <v>49</v>
      </c>
      <c r="B87" s="55" t="s">
        <v>146</v>
      </c>
      <c r="C87" s="163" t="s">
        <v>148</v>
      </c>
      <c r="D87" s="51"/>
      <c r="E87" s="51"/>
      <c r="F87" s="51"/>
      <c r="G87" s="51"/>
      <c r="H87" s="51"/>
      <c r="I87" s="148"/>
      <c r="J87" s="51"/>
      <c r="K87" s="51"/>
      <c r="L87" s="51"/>
      <c r="M87" s="51"/>
      <c r="N87" s="51"/>
      <c r="O87" s="89"/>
      <c r="P87" s="51"/>
      <c r="Q87" s="89"/>
      <c r="R87" s="89"/>
      <c r="S87" s="89"/>
      <c r="T87" s="89"/>
      <c r="U87" s="89"/>
      <c r="V87" s="89"/>
      <c r="W87" s="89"/>
      <c r="X87" s="87"/>
      <c r="Y87" s="231"/>
      <c r="Z87" s="231"/>
      <c r="AA87" s="231"/>
      <c r="AB87" s="133"/>
      <c r="AC87" s="133"/>
      <c r="AD87" s="133"/>
      <c r="AE87" s="133"/>
      <c r="AF87" s="133"/>
      <c r="AG87" s="134"/>
      <c r="AH87" s="110"/>
      <c r="AI87" s="134">
        <v>0</v>
      </c>
      <c r="AJ87" s="95">
        <v>494.679</v>
      </c>
      <c r="AK87" s="134">
        <f t="shared" si="86"/>
        <v>494.679</v>
      </c>
      <c r="AL87" s="108"/>
      <c r="AM87" s="134">
        <f t="shared" si="87"/>
        <v>494.679</v>
      </c>
      <c r="AN87" s="140"/>
      <c r="AO87" s="134">
        <f t="shared" si="88"/>
        <v>494.679</v>
      </c>
      <c r="AP87" s="149"/>
      <c r="AQ87" s="134">
        <f t="shared" si="100"/>
        <v>494.679</v>
      </c>
      <c r="AR87" s="42"/>
      <c r="AS87" s="42">
        <f t="shared" si="94"/>
        <v>-494.679</v>
      </c>
      <c r="AT87" s="88"/>
      <c r="AU87" s="42">
        <f t="shared" si="101"/>
        <v>0</v>
      </c>
      <c r="AV87" s="42"/>
      <c r="AW87" s="87">
        <f t="shared" ref="AW87:AW99" si="104">AU87</f>
        <v>0</v>
      </c>
      <c r="AX87" s="87">
        <v>480</v>
      </c>
      <c r="AY87" s="109">
        <f t="shared" si="102"/>
        <v>480</v>
      </c>
      <c r="AZ87" s="35"/>
      <c r="BA87" s="105">
        <f t="shared" si="72"/>
        <v>480</v>
      </c>
    </row>
    <row r="88" s="3" customFormat="1" ht="1.5" customHeight="1" spans="1:53">
      <c r="A88" s="47" t="s">
        <v>49</v>
      </c>
      <c r="B88" s="55" t="s">
        <v>146</v>
      </c>
      <c r="C88" s="163" t="s">
        <v>149</v>
      </c>
      <c r="D88" s="51">
        <v>3000</v>
      </c>
      <c r="E88" s="51"/>
      <c r="F88" s="51"/>
      <c r="G88" s="51"/>
      <c r="H88" s="51"/>
      <c r="I88" s="148"/>
      <c r="J88" s="51"/>
      <c r="K88" s="51"/>
      <c r="L88" s="51"/>
      <c r="M88" s="51"/>
      <c r="N88" s="51"/>
      <c r="O88" s="89"/>
      <c r="P88" s="51"/>
      <c r="Q88" s="89"/>
      <c r="R88" s="89"/>
      <c r="S88" s="89"/>
      <c r="T88" s="89"/>
      <c r="U88" s="89"/>
      <c r="V88" s="89"/>
      <c r="W88" s="89"/>
      <c r="X88" s="87"/>
      <c r="Y88" s="231"/>
      <c r="Z88" s="231"/>
      <c r="AA88" s="231"/>
      <c r="AB88" s="133"/>
      <c r="AC88" s="133"/>
      <c r="AD88" s="133"/>
      <c r="AE88" s="133"/>
      <c r="AF88" s="133"/>
      <c r="AG88" s="134"/>
      <c r="AH88" s="110"/>
      <c r="AI88" s="134"/>
      <c r="AJ88" s="95"/>
      <c r="AK88" s="134"/>
      <c r="AL88" s="108"/>
      <c r="AM88" s="134">
        <v>0</v>
      </c>
      <c r="AN88" s="42">
        <v>3000</v>
      </c>
      <c r="AO88" s="134">
        <f t="shared" si="88"/>
        <v>3000</v>
      </c>
      <c r="AP88" s="149"/>
      <c r="AQ88" s="134">
        <f t="shared" si="100"/>
        <v>3000</v>
      </c>
      <c r="AR88" s="42"/>
      <c r="AS88" s="42">
        <f t="shared" si="94"/>
        <v>-3000</v>
      </c>
      <c r="AT88" s="88"/>
      <c r="AU88" s="42">
        <f t="shared" si="101"/>
        <v>0</v>
      </c>
      <c r="AV88" s="42"/>
      <c r="AW88" s="87">
        <f t="shared" si="104"/>
        <v>0</v>
      </c>
      <c r="AX88" s="87"/>
      <c r="AY88" s="109">
        <f t="shared" si="102"/>
        <v>0</v>
      </c>
      <c r="AZ88" s="35"/>
      <c r="BA88" s="105">
        <f t="shared" si="72"/>
        <v>0</v>
      </c>
    </row>
    <row r="89" s="3" customFormat="1" ht="45.75" customHeight="1" spans="1:53">
      <c r="A89" s="47" t="s">
        <v>42</v>
      </c>
      <c r="B89" s="55" t="s">
        <v>146</v>
      </c>
      <c r="C89" s="163" t="s">
        <v>150</v>
      </c>
      <c r="D89" s="51"/>
      <c r="E89" s="51"/>
      <c r="F89" s="51"/>
      <c r="G89" s="51"/>
      <c r="H89" s="51"/>
      <c r="I89" s="148"/>
      <c r="J89" s="51"/>
      <c r="K89" s="51"/>
      <c r="L89" s="51"/>
      <c r="M89" s="51"/>
      <c r="N89" s="51"/>
      <c r="O89" s="89"/>
      <c r="P89" s="51"/>
      <c r="Q89" s="89"/>
      <c r="R89" s="89"/>
      <c r="S89" s="89"/>
      <c r="T89" s="89"/>
      <c r="U89" s="89"/>
      <c r="V89" s="89"/>
      <c r="W89" s="89"/>
      <c r="X89" s="87"/>
      <c r="Y89" s="231"/>
      <c r="Z89" s="231"/>
      <c r="AA89" s="231"/>
      <c r="AB89" s="133"/>
      <c r="AC89" s="133"/>
      <c r="AD89" s="133"/>
      <c r="AE89" s="133"/>
      <c r="AF89" s="133"/>
      <c r="AG89" s="134"/>
      <c r="AH89" s="110"/>
      <c r="AI89" s="134"/>
      <c r="AJ89" s="95"/>
      <c r="AK89" s="134"/>
      <c r="AL89" s="108"/>
      <c r="AM89" s="134"/>
      <c r="AN89" s="42"/>
      <c r="AO89" s="134"/>
      <c r="AP89" s="149"/>
      <c r="AQ89" s="134"/>
      <c r="AR89" s="42"/>
      <c r="AS89" s="42"/>
      <c r="AT89" s="88"/>
      <c r="AU89" s="42"/>
      <c r="AV89" s="42"/>
      <c r="AW89" s="87">
        <v>0</v>
      </c>
      <c r="AX89" s="87">
        <v>16246.1</v>
      </c>
      <c r="AY89" s="109">
        <f t="shared" si="102"/>
        <v>16246.1</v>
      </c>
      <c r="AZ89" s="35"/>
      <c r="BA89" s="105">
        <f t="shared" si="72"/>
        <v>16246.1</v>
      </c>
    </row>
    <row r="90" s="3" customFormat="1" ht="56.25" customHeight="1" spans="1:53">
      <c r="A90" s="47" t="s">
        <v>54</v>
      </c>
      <c r="B90" s="55" t="s">
        <v>151</v>
      </c>
      <c r="C90" s="163" t="s">
        <v>152</v>
      </c>
      <c r="D90" s="37"/>
      <c r="E90" s="37"/>
      <c r="F90" s="37"/>
      <c r="G90" s="37"/>
      <c r="H90" s="37"/>
      <c r="I90" s="86"/>
      <c r="J90" s="37"/>
      <c r="K90" s="37"/>
      <c r="L90" s="37"/>
      <c r="M90" s="37"/>
      <c r="N90" s="37"/>
      <c r="O90" s="89"/>
      <c r="P90" s="37"/>
      <c r="Q90" s="89"/>
      <c r="R90" s="89"/>
      <c r="S90" s="37"/>
      <c r="T90" s="89"/>
      <c r="U90" s="89"/>
      <c r="V90" s="209"/>
      <c r="W90" s="111"/>
      <c r="X90" s="109"/>
      <c r="Y90" s="131"/>
      <c r="Z90" s="95"/>
      <c r="AA90" s="131"/>
      <c r="AB90" s="134"/>
      <c r="AC90" s="133"/>
      <c r="AD90" s="110"/>
      <c r="AE90" s="133"/>
      <c r="AF90" s="88"/>
      <c r="AG90" s="134"/>
      <c r="AH90" s="110"/>
      <c r="AI90" s="134"/>
      <c r="AJ90" s="140"/>
      <c r="AK90" s="134"/>
      <c r="AL90" s="108"/>
      <c r="AM90" s="134"/>
      <c r="AN90" s="140"/>
      <c r="AO90" s="134"/>
      <c r="AP90" s="149"/>
      <c r="AQ90" s="134"/>
      <c r="AR90" s="42">
        <v>0</v>
      </c>
      <c r="AS90" s="42"/>
      <c r="AT90" s="42">
        <v>713.7</v>
      </c>
      <c r="AU90" s="42">
        <f t="shared" ref="AU90" si="105">SUM(AR90,AT90)</f>
        <v>713.7</v>
      </c>
      <c r="AV90" s="42"/>
      <c r="AW90" s="87">
        <f t="shared" si="104"/>
        <v>713.7</v>
      </c>
      <c r="AX90" s="87"/>
      <c r="AY90" s="109">
        <f t="shared" si="102"/>
        <v>713.7</v>
      </c>
      <c r="AZ90" s="35"/>
      <c r="BA90" s="105">
        <f t="shared" si="72"/>
        <v>713.7</v>
      </c>
    </row>
    <row r="91" s="3" customFormat="1" ht="60" customHeight="1" spans="1:53">
      <c r="A91" s="47" t="s">
        <v>54</v>
      </c>
      <c r="B91" s="55" t="s">
        <v>153</v>
      </c>
      <c r="C91" s="163" t="s">
        <v>154</v>
      </c>
      <c r="D91" s="37"/>
      <c r="E91" s="37"/>
      <c r="F91" s="37"/>
      <c r="G91" s="37"/>
      <c r="H91" s="37"/>
      <c r="I91" s="86"/>
      <c r="J91" s="37"/>
      <c r="K91" s="37"/>
      <c r="L91" s="37"/>
      <c r="M91" s="37"/>
      <c r="N91" s="37"/>
      <c r="O91" s="89">
        <v>1828</v>
      </c>
      <c r="P91" s="37"/>
      <c r="Q91" s="89">
        <f t="shared" ref="Q91" si="106">P91+O91</f>
        <v>1828</v>
      </c>
      <c r="R91" s="89">
        <v>5379.1</v>
      </c>
      <c r="S91" s="37">
        <f>R91-Q91</f>
        <v>3551.1</v>
      </c>
      <c r="T91" s="89">
        <v>0</v>
      </c>
      <c r="U91" s="89">
        <v>5279.3</v>
      </c>
      <c r="V91" s="209"/>
      <c r="W91" s="111">
        <v>5279.3</v>
      </c>
      <c r="X91" s="109">
        <f t="shared" si="82"/>
        <v>0</v>
      </c>
      <c r="Y91" s="131">
        <v>5279.3</v>
      </c>
      <c r="Z91" s="95"/>
      <c r="AA91" s="131">
        <f t="shared" si="29"/>
        <v>5279.3</v>
      </c>
      <c r="AB91" s="134">
        <v>84.3</v>
      </c>
      <c r="AC91" s="133">
        <f t="shared" si="93"/>
        <v>5363.6</v>
      </c>
      <c r="AD91" s="110"/>
      <c r="AE91" s="133">
        <f t="shared" si="57"/>
        <v>5363.6</v>
      </c>
      <c r="AF91" s="88"/>
      <c r="AG91" s="134">
        <f t="shared" si="103"/>
        <v>5363.6</v>
      </c>
      <c r="AH91" s="110"/>
      <c r="AI91" s="134">
        <f t="shared" si="67"/>
        <v>5363.6</v>
      </c>
      <c r="AJ91" s="140"/>
      <c r="AK91" s="134">
        <f t="shared" si="86"/>
        <v>5363.6</v>
      </c>
      <c r="AL91" s="108"/>
      <c r="AM91" s="134">
        <f t="shared" si="87"/>
        <v>5363.6</v>
      </c>
      <c r="AN91" s="140"/>
      <c r="AO91" s="134">
        <f t="shared" si="88"/>
        <v>5363.6</v>
      </c>
      <c r="AP91" s="149"/>
      <c r="AQ91" s="134">
        <f t="shared" si="100"/>
        <v>5363.6</v>
      </c>
      <c r="AR91" s="42">
        <v>5601.1</v>
      </c>
      <c r="AS91" s="42">
        <f t="shared" si="94"/>
        <v>237.5</v>
      </c>
      <c r="AT91" s="88"/>
      <c r="AU91" s="42">
        <f t="shared" si="101"/>
        <v>5601.1</v>
      </c>
      <c r="AV91" s="42"/>
      <c r="AW91" s="87">
        <v>5417.5</v>
      </c>
      <c r="AX91" s="87"/>
      <c r="AY91" s="109">
        <f t="shared" ref="AY91:AY99" si="107">SUM(AW91:AX91)</f>
        <v>5417.5</v>
      </c>
      <c r="AZ91" s="35"/>
      <c r="BA91" s="105">
        <f t="shared" si="72"/>
        <v>5417.5</v>
      </c>
    </row>
    <row r="92" s="3" customFormat="1" ht="60" customHeight="1" spans="1:53">
      <c r="A92" s="47" t="s">
        <v>54</v>
      </c>
      <c r="B92" s="55" t="s">
        <v>146</v>
      </c>
      <c r="C92" s="163" t="s">
        <v>155</v>
      </c>
      <c r="D92" s="37"/>
      <c r="E92" s="37"/>
      <c r="F92" s="37"/>
      <c r="G92" s="37"/>
      <c r="H92" s="37"/>
      <c r="I92" s="86"/>
      <c r="J92" s="37"/>
      <c r="K92" s="37"/>
      <c r="L92" s="37"/>
      <c r="M92" s="37"/>
      <c r="N92" s="37"/>
      <c r="O92" s="89"/>
      <c r="P92" s="37"/>
      <c r="Q92" s="89"/>
      <c r="R92" s="89"/>
      <c r="S92" s="37"/>
      <c r="T92" s="89"/>
      <c r="U92" s="89"/>
      <c r="V92" s="209"/>
      <c r="W92" s="111"/>
      <c r="X92" s="109"/>
      <c r="Y92" s="131"/>
      <c r="Z92" s="95"/>
      <c r="AA92" s="131"/>
      <c r="AB92" s="134"/>
      <c r="AC92" s="133"/>
      <c r="AD92" s="110"/>
      <c r="AE92" s="133"/>
      <c r="AF92" s="88"/>
      <c r="AG92" s="134"/>
      <c r="AH92" s="110"/>
      <c r="AI92" s="134"/>
      <c r="AJ92" s="140"/>
      <c r="AK92" s="134"/>
      <c r="AL92" s="108"/>
      <c r="AM92" s="134"/>
      <c r="AN92" s="140"/>
      <c r="AO92" s="134"/>
      <c r="AP92" s="149"/>
      <c r="AQ92" s="134"/>
      <c r="AR92" s="42">
        <v>506</v>
      </c>
      <c r="AS92" s="42">
        <f t="shared" si="94"/>
        <v>506</v>
      </c>
      <c r="AT92" s="88"/>
      <c r="AU92" s="42">
        <f t="shared" si="101"/>
        <v>506</v>
      </c>
      <c r="AV92" s="42"/>
      <c r="AW92" s="87">
        <f t="shared" si="104"/>
        <v>506</v>
      </c>
      <c r="AX92" s="87"/>
      <c r="AY92" s="109">
        <f t="shared" si="107"/>
        <v>506</v>
      </c>
      <c r="AZ92" s="35"/>
      <c r="BA92" s="105">
        <f t="shared" si="72"/>
        <v>506</v>
      </c>
    </row>
    <row r="93" s="3" customFormat="1" ht="62.25" customHeight="1" spans="1:53">
      <c r="A93" s="47" t="s">
        <v>54</v>
      </c>
      <c r="B93" s="55" t="s">
        <v>146</v>
      </c>
      <c r="C93" s="163" t="s">
        <v>156</v>
      </c>
      <c r="D93" s="37"/>
      <c r="E93" s="37"/>
      <c r="F93" s="37"/>
      <c r="G93" s="37"/>
      <c r="H93" s="37"/>
      <c r="I93" s="86"/>
      <c r="J93" s="37"/>
      <c r="K93" s="37"/>
      <c r="L93" s="37"/>
      <c r="M93" s="37"/>
      <c r="N93" s="37"/>
      <c r="O93" s="89">
        <v>1828</v>
      </c>
      <c r="P93" s="37"/>
      <c r="Q93" s="89">
        <f>P93+O93</f>
        <v>1828</v>
      </c>
      <c r="R93" s="89">
        <v>5379.1</v>
      </c>
      <c r="S93" s="37">
        <f>R93-Q93</f>
        <v>3551.1</v>
      </c>
      <c r="T93" s="89">
        <v>0</v>
      </c>
      <c r="U93" s="89">
        <v>99.8</v>
      </c>
      <c r="V93" s="209"/>
      <c r="W93" s="111">
        <v>99.8</v>
      </c>
      <c r="X93" s="109">
        <f t="shared" si="82"/>
        <v>0</v>
      </c>
      <c r="Y93" s="131">
        <v>99.8</v>
      </c>
      <c r="Z93" s="95"/>
      <c r="AA93" s="131">
        <f>SUM(Y93,Z93)</f>
        <v>99.8</v>
      </c>
      <c r="AB93" s="132"/>
      <c r="AC93" s="133">
        <f t="shared" si="93"/>
        <v>99.8</v>
      </c>
      <c r="AD93" s="110"/>
      <c r="AE93" s="133">
        <f t="shared" si="57"/>
        <v>99.8</v>
      </c>
      <c r="AF93" s="88"/>
      <c r="AG93" s="134">
        <f t="shared" si="71"/>
        <v>99.8</v>
      </c>
      <c r="AH93" s="110"/>
      <c r="AI93" s="134">
        <f t="shared" si="67"/>
        <v>99.8</v>
      </c>
      <c r="AJ93" s="140"/>
      <c r="AK93" s="134">
        <f t="shared" si="86"/>
        <v>99.8</v>
      </c>
      <c r="AL93" s="108"/>
      <c r="AM93" s="134">
        <f t="shared" si="87"/>
        <v>99.8</v>
      </c>
      <c r="AN93" s="140"/>
      <c r="AO93" s="134">
        <f t="shared" si="88"/>
        <v>99.8</v>
      </c>
      <c r="AP93" s="149"/>
      <c r="AQ93" s="134">
        <f t="shared" ref="AQ93:AQ99" si="108">SUM(AO93,AP93)</f>
        <v>99.8</v>
      </c>
      <c r="AR93" s="42">
        <v>343.7</v>
      </c>
      <c r="AS93" s="42">
        <f t="shared" si="94"/>
        <v>243.9</v>
      </c>
      <c r="AT93" s="88"/>
      <c r="AU93" s="42">
        <f t="shared" si="101"/>
        <v>343.7</v>
      </c>
      <c r="AV93" s="42"/>
      <c r="AW93" s="87">
        <v>337.8</v>
      </c>
      <c r="AX93" s="87"/>
      <c r="AY93" s="109">
        <f t="shared" si="107"/>
        <v>337.8</v>
      </c>
      <c r="AZ93" s="35"/>
      <c r="BA93" s="105">
        <f t="shared" si="72"/>
        <v>337.8</v>
      </c>
    </row>
    <row r="94" s="3" customFormat="1" ht="1.5" customHeight="1" spans="1:53">
      <c r="A94" s="47" t="s">
        <v>54</v>
      </c>
      <c r="B94" s="55" t="s">
        <v>146</v>
      </c>
      <c r="C94" s="163" t="s">
        <v>157</v>
      </c>
      <c r="D94" s="42"/>
      <c r="E94" s="51"/>
      <c r="F94" s="51"/>
      <c r="G94" s="51"/>
      <c r="H94" s="51"/>
      <c r="I94" s="42"/>
      <c r="J94" s="87"/>
      <c r="K94" s="88"/>
      <c r="L94" s="88"/>
      <c r="M94" s="88"/>
      <c r="N94" s="37"/>
      <c r="O94" s="89"/>
      <c r="P94" s="90"/>
      <c r="Q94" s="89"/>
      <c r="R94" s="89"/>
      <c r="S94" s="37"/>
      <c r="T94" s="89"/>
      <c r="U94" s="89"/>
      <c r="V94" s="108"/>
      <c r="W94" s="111"/>
      <c r="X94" s="109"/>
      <c r="Y94" s="131"/>
      <c r="Z94" s="95"/>
      <c r="AA94" s="131"/>
      <c r="AB94" s="132"/>
      <c r="AC94" s="133"/>
      <c r="AD94" s="110"/>
      <c r="AE94" s="126">
        <v>0</v>
      </c>
      <c r="AF94" s="81"/>
      <c r="AG94" s="134">
        <f t="shared" ref="AG94" si="109">SUM(AE94,AF94)</f>
        <v>0</v>
      </c>
      <c r="AH94" s="81">
        <v>1968.1198</v>
      </c>
      <c r="AI94" s="104">
        <f t="shared" ref="AI94" si="110">SUM(AG94,AH94)</f>
        <v>1968.1198</v>
      </c>
      <c r="AJ94" s="140"/>
      <c r="AK94" s="134">
        <f t="shared" si="86"/>
        <v>1968.1198</v>
      </c>
      <c r="AL94" s="35"/>
      <c r="AM94" s="104">
        <f t="shared" si="87"/>
        <v>1968.1198</v>
      </c>
      <c r="AN94" s="250"/>
      <c r="AO94" s="104">
        <f t="shared" si="88"/>
        <v>1968.1198</v>
      </c>
      <c r="AP94" s="85"/>
      <c r="AQ94" s="104">
        <f t="shared" si="108"/>
        <v>1968.1198</v>
      </c>
      <c r="AR94" s="42"/>
      <c r="AS94" s="81">
        <f t="shared" si="94"/>
        <v>-1968.1198</v>
      </c>
      <c r="AT94" s="151"/>
      <c r="AU94" s="81">
        <f t="shared" si="101"/>
        <v>0</v>
      </c>
      <c r="AV94" s="81"/>
      <c r="AW94" s="267">
        <f t="shared" si="104"/>
        <v>0</v>
      </c>
      <c r="AX94" s="87"/>
      <c r="AY94" s="109">
        <f t="shared" si="107"/>
        <v>0</v>
      </c>
      <c r="AZ94" s="35"/>
      <c r="BA94" s="105">
        <f t="shared" si="72"/>
        <v>0</v>
      </c>
    </row>
    <row r="95" s="3" customFormat="1" ht="59.25" hidden="1" customHeight="1" spans="1:53">
      <c r="A95" s="47" t="s">
        <v>54</v>
      </c>
      <c r="B95" s="55" t="s">
        <v>146</v>
      </c>
      <c r="C95" s="163" t="s">
        <v>158</v>
      </c>
      <c r="D95" s="42"/>
      <c r="E95" s="51"/>
      <c r="F95" s="51"/>
      <c r="G95" s="51"/>
      <c r="H95" s="51"/>
      <c r="I95" s="42"/>
      <c r="J95" s="87"/>
      <c r="K95" s="88"/>
      <c r="L95" s="88"/>
      <c r="M95" s="88"/>
      <c r="N95" s="37"/>
      <c r="O95" s="89"/>
      <c r="P95" s="90"/>
      <c r="Q95" s="89"/>
      <c r="R95" s="89"/>
      <c r="S95" s="37"/>
      <c r="T95" s="89"/>
      <c r="U95" s="89"/>
      <c r="V95" s="108"/>
      <c r="W95" s="111"/>
      <c r="X95" s="109"/>
      <c r="Y95" s="131"/>
      <c r="Z95" s="95"/>
      <c r="AA95" s="131"/>
      <c r="AB95" s="132"/>
      <c r="AC95" s="133"/>
      <c r="AD95" s="110"/>
      <c r="AE95" s="126"/>
      <c r="AF95" s="81"/>
      <c r="AG95" s="134"/>
      <c r="AH95" s="81"/>
      <c r="AI95" s="104">
        <v>0</v>
      </c>
      <c r="AJ95" s="42">
        <v>997.8552</v>
      </c>
      <c r="AK95" s="134">
        <f t="shared" si="86"/>
        <v>997.8552</v>
      </c>
      <c r="AL95" s="251"/>
      <c r="AM95" s="104">
        <f t="shared" si="87"/>
        <v>997.8552</v>
      </c>
      <c r="AN95" s="250"/>
      <c r="AO95" s="104">
        <f t="shared" si="88"/>
        <v>997.8552</v>
      </c>
      <c r="AP95" s="85"/>
      <c r="AQ95" s="104">
        <f t="shared" si="108"/>
        <v>997.8552</v>
      </c>
      <c r="AR95" s="42"/>
      <c r="AS95" s="81">
        <f t="shared" si="94"/>
        <v>-997.8552</v>
      </c>
      <c r="AT95" s="151"/>
      <c r="AU95" s="81">
        <f t="shared" si="101"/>
        <v>0</v>
      </c>
      <c r="AV95" s="81"/>
      <c r="AW95" s="267">
        <f t="shared" si="104"/>
        <v>0</v>
      </c>
      <c r="AX95" s="87"/>
      <c r="AY95" s="109">
        <f t="shared" si="107"/>
        <v>0</v>
      </c>
      <c r="AZ95" s="35"/>
      <c r="BA95" s="105">
        <f t="shared" si="72"/>
        <v>0</v>
      </c>
    </row>
    <row r="96" s="3" customFormat="1" ht="56.25" customHeight="1" spans="1:53">
      <c r="A96" s="47" t="s">
        <v>57</v>
      </c>
      <c r="B96" s="55" t="s">
        <v>159</v>
      </c>
      <c r="C96" s="163" t="s">
        <v>160</v>
      </c>
      <c r="D96" s="42">
        <v>2517.28</v>
      </c>
      <c r="E96" s="51">
        <v>2517.28</v>
      </c>
      <c r="F96" s="51"/>
      <c r="G96" s="51"/>
      <c r="H96" s="51">
        <f>F96+G96</f>
        <v>0</v>
      </c>
      <c r="I96" s="42">
        <v>2596.376</v>
      </c>
      <c r="J96" s="87">
        <f>SUM(H96,I96)</f>
        <v>2596.376</v>
      </c>
      <c r="K96" s="88"/>
      <c r="L96" s="88"/>
      <c r="M96" s="88"/>
      <c r="N96" s="37"/>
      <c r="O96" s="89">
        <v>2596.376</v>
      </c>
      <c r="P96" s="90"/>
      <c r="Q96" s="89">
        <f>P96+O96</f>
        <v>2596.376</v>
      </c>
      <c r="R96" s="89">
        <v>2729.076</v>
      </c>
      <c r="S96" s="37">
        <f>R96-Q96</f>
        <v>132.7</v>
      </c>
      <c r="T96" s="95">
        <v>-0.001</v>
      </c>
      <c r="U96" s="89">
        <f>R96+T96</f>
        <v>2729.075</v>
      </c>
      <c r="V96" s="108"/>
      <c r="W96" s="111">
        <v>2825.157</v>
      </c>
      <c r="X96" s="109">
        <f t="shared" si="82"/>
        <v>0</v>
      </c>
      <c r="Y96" s="131">
        <v>2825.157</v>
      </c>
      <c r="Z96" s="95">
        <v>1002.835</v>
      </c>
      <c r="AA96" s="131">
        <f t="shared" ref="AA96:AA99" si="111">SUM(Y96,Z96)</f>
        <v>3827.992</v>
      </c>
      <c r="AB96" s="132"/>
      <c r="AC96" s="133">
        <f t="shared" si="93"/>
        <v>3827.992</v>
      </c>
      <c r="AD96" s="110"/>
      <c r="AE96" s="126">
        <f t="shared" si="57"/>
        <v>3827.992</v>
      </c>
      <c r="AF96" s="151"/>
      <c r="AG96" s="134">
        <f t="shared" si="71"/>
        <v>3827.992</v>
      </c>
      <c r="AH96" s="211"/>
      <c r="AI96" s="104">
        <f t="shared" si="67"/>
        <v>3827.992</v>
      </c>
      <c r="AJ96" s="42">
        <v>-769.675</v>
      </c>
      <c r="AK96" s="134">
        <f t="shared" si="86"/>
        <v>3058.317</v>
      </c>
      <c r="AL96" s="35"/>
      <c r="AM96" s="104">
        <f t="shared" si="87"/>
        <v>3058.317</v>
      </c>
      <c r="AN96" s="42">
        <v>172.09132</v>
      </c>
      <c r="AO96" s="104">
        <f t="shared" si="88"/>
        <v>3230.40832</v>
      </c>
      <c r="AP96" s="85"/>
      <c r="AQ96" s="104">
        <f t="shared" si="108"/>
        <v>3230.40832</v>
      </c>
      <c r="AR96" s="42">
        <v>1983.234</v>
      </c>
      <c r="AS96" s="81">
        <f t="shared" si="94"/>
        <v>-1247.17432</v>
      </c>
      <c r="AT96" s="53">
        <v>2112.488</v>
      </c>
      <c r="AU96" s="81">
        <f t="shared" si="101"/>
        <v>4095.722</v>
      </c>
      <c r="AV96" s="81"/>
      <c r="AW96" s="267">
        <f t="shared" si="104"/>
        <v>4095.722</v>
      </c>
      <c r="AX96" s="87"/>
      <c r="AY96" s="109">
        <f t="shared" si="107"/>
        <v>4095.722</v>
      </c>
      <c r="AZ96" s="35"/>
      <c r="BA96" s="105">
        <f t="shared" si="72"/>
        <v>4095.722</v>
      </c>
    </row>
    <row r="97" s="3" customFormat="1" ht="56.25" customHeight="1" spans="1:53">
      <c r="A97" s="47" t="s">
        <v>49</v>
      </c>
      <c r="B97" s="55" t="s">
        <v>146</v>
      </c>
      <c r="C97" s="163" t="s">
        <v>161</v>
      </c>
      <c r="D97" s="42"/>
      <c r="E97" s="51"/>
      <c r="F97" s="51"/>
      <c r="G97" s="51"/>
      <c r="H97" s="51"/>
      <c r="I97" s="42"/>
      <c r="J97" s="87"/>
      <c r="K97" s="88"/>
      <c r="L97" s="88"/>
      <c r="M97" s="88"/>
      <c r="N97" s="37"/>
      <c r="O97" s="89"/>
      <c r="P97" s="90"/>
      <c r="Q97" s="89"/>
      <c r="R97" s="89"/>
      <c r="S97" s="37"/>
      <c r="T97" s="95"/>
      <c r="U97" s="89"/>
      <c r="V97" s="108"/>
      <c r="W97" s="111"/>
      <c r="X97" s="109"/>
      <c r="Y97" s="131"/>
      <c r="Z97" s="95"/>
      <c r="AA97" s="131"/>
      <c r="AB97" s="132"/>
      <c r="AC97" s="133"/>
      <c r="AD97" s="110"/>
      <c r="AE97" s="126"/>
      <c r="AF97" s="151"/>
      <c r="AG97" s="134"/>
      <c r="AH97" s="211"/>
      <c r="AI97" s="104"/>
      <c r="AJ97" s="42"/>
      <c r="AK97" s="134"/>
      <c r="AL97" s="35"/>
      <c r="AM97" s="104"/>
      <c r="AN97" s="42"/>
      <c r="AO97" s="104"/>
      <c r="AP97" s="85"/>
      <c r="AQ97" s="104"/>
      <c r="AR97" s="42"/>
      <c r="AS97" s="81"/>
      <c r="AT97" s="53"/>
      <c r="AU97" s="81"/>
      <c r="AV97" s="81"/>
      <c r="AW97" s="87">
        <v>1640</v>
      </c>
      <c r="AX97" s="87"/>
      <c r="AY97" s="109">
        <f t="shared" si="107"/>
        <v>1640</v>
      </c>
      <c r="AZ97" s="35"/>
      <c r="BA97" s="105">
        <f t="shared" si="72"/>
        <v>1640</v>
      </c>
    </row>
    <row r="98" s="3" customFormat="1" ht="61.5" customHeight="1" spans="1:53">
      <c r="A98" s="47" t="s">
        <v>64</v>
      </c>
      <c r="B98" s="55" t="s">
        <v>146</v>
      </c>
      <c r="C98" s="163" t="s">
        <v>162</v>
      </c>
      <c r="D98" s="42"/>
      <c r="E98" s="51"/>
      <c r="F98" s="51"/>
      <c r="G98" s="51"/>
      <c r="H98" s="51"/>
      <c r="I98" s="42"/>
      <c r="J98" s="87"/>
      <c r="K98" s="88"/>
      <c r="L98" s="88"/>
      <c r="M98" s="88"/>
      <c r="N98" s="37"/>
      <c r="O98" s="89"/>
      <c r="P98" s="90"/>
      <c r="Q98" s="89"/>
      <c r="R98" s="89"/>
      <c r="S98" s="37"/>
      <c r="T98" s="89"/>
      <c r="U98" s="89"/>
      <c r="V98" s="108"/>
      <c r="W98" s="111"/>
      <c r="X98" s="109"/>
      <c r="Y98" s="131"/>
      <c r="Z98" s="95"/>
      <c r="AA98" s="131"/>
      <c r="AB98" s="132"/>
      <c r="AC98" s="133"/>
      <c r="AD98" s="110"/>
      <c r="AE98" s="126">
        <v>0</v>
      </c>
      <c r="AF98" s="81">
        <v>1700</v>
      </c>
      <c r="AG98" s="134">
        <f>SUM(AE98,AF98)</f>
        <v>1700</v>
      </c>
      <c r="AH98" s="211"/>
      <c r="AI98" s="104">
        <f>SUM(AG98,AH98)</f>
        <v>1700</v>
      </c>
      <c r="AJ98" s="42">
        <v>1700</v>
      </c>
      <c r="AK98" s="134">
        <f>SUM(AI98,AJ98)</f>
        <v>3400</v>
      </c>
      <c r="AL98" s="35"/>
      <c r="AM98" s="104">
        <f>SUM(AK98,AL98)</f>
        <v>3400</v>
      </c>
      <c r="AN98" s="250"/>
      <c r="AO98" s="104">
        <f>SUM(AM98,AN98)</f>
        <v>3400</v>
      </c>
      <c r="AP98" s="85"/>
      <c r="AQ98" s="104">
        <f t="shared" si="108"/>
        <v>3400</v>
      </c>
      <c r="AR98" s="42"/>
      <c r="AS98" s="81">
        <f t="shared" si="94"/>
        <v>-3400</v>
      </c>
      <c r="AT98" s="53"/>
      <c r="AU98" s="81">
        <f t="shared" si="101"/>
        <v>0</v>
      </c>
      <c r="AV98" s="81"/>
      <c r="AW98" s="267">
        <f t="shared" si="104"/>
        <v>0</v>
      </c>
      <c r="AX98" s="87">
        <v>6500</v>
      </c>
      <c r="AY98" s="109">
        <f t="shared" si="107"/>
        <v>6500</v>
      </c>
      <c r="AZ98" s="108"/>
      <c r="BA98" s="105">
        <f t="shared" si="72"/>
        <v>6500</v>
      </c>
    </row>
    <row r="99" s="3" customFormat="1" ht="68.25" customHeight="1" spans="1:53">
      <c r="A99" s="47" t="s">
        <v>163</v>
      </c>
      <c r="B99" s="48" t="s">
        <v>159</v>
      </c>
      <c r="C99" s="165" t="s">
        <v>164</v>
      </c>
      <c r="D99" s="42">
        <v>226.6</v>
      </c>
      <c r="E99" s="43">
        <v>226.6</v>
      </c>
      <c r="F99" s="43"/>
      <c r="G99" s="43"/>
      <c r="H99" s="43">
        <f>F99+G99</f>
        <v>0</v>
      </c>
      <c r="I99" s="81">
        <v>227.6</v>
      </c>
      <c r="J99" s="87">
        <f>SUM(H99,I99)</f>
        <v>227.6</v>
      </c>
      <c r="K99" s="151"/>
      <c r="L99" s="151"/>
      <c r="M99" s="151"/>
      <c r="N99" s="37"/>
      <c r="O99" s="83">
        <v>227.6</v>
      </c>
      <c r="P99" s="193"/>
      <c r="Q99" s="89">
        <f>P99+O99</f>
        <v>227.6</v>
      </c>
      <c r="R99" s="210">
        <v>256.3</v>
      </c>
      <c r="S99" s="79">
        <f t="shared" ref="S99" si="112">R99-Q99</f>
        <v>28.7</v>
      </c>
      <c r="T99" s="211"/>
      <c r="U99" s="89">
        <f t="shared" ref="U99" si="113">R99+T99</f>
        <v>256.3</v>
      </c>
      <c r="V99" s="35"/>
      <c r="W99" s="107">
        <f>225.5</f>
        <v>225.5</v>
      </c>
      <c r="X99" s="105">
        <f t="shared" si="82"/>
        <v>0</v>
      </c>
      <c r="Y99" s="124">
        <v>225.5</v>
      </c>
      <c r="Z99" s="53"/>
      <c r="AA99" s="124">
        <f t="shared" si="111"/>
        <v>225.5</v>
      </c>
      <c r="AB99" s="132"/>
      <c r="AC99" s="133">
        <f t="shared" si="93"/>
        <v>225.5</v>
      </c>
      <c r="AD99" s="110"/>
      <c r="AE99" s="126">
        <f t="shared" si="57"/>
        <v>225.5</v>
      </c>
      <c r="AF99" s="151"/>
      <c r="AG99" s="104">
        <f t="shared" si="71"/>
        <v>225.5</v>
      </c>
      <c r="AH99" s="211"/>
      <c r="AI99" s="104">
        <f t="shared" si="67"/>
        <v>225.5</v>
      </c>
      <c r="AJ99" s="250"/>
      <c r="AK99" s="104">
        <f t="shared" si="86"/>
        <v>225.5</v>
      </c>
      <c r="AL99" s="35"/>
      <c r="AM99" s="104">
        <f t="shared" si="87"/>
        <v>225.5</v>
      </c>
      <c r="AN99" s="250"/>
      <c r="AO99" s="104">
        <f t="shared" si="88"/>
        <v>225.5</v>
      </c>
      <c r="AP99" s="85"/>
      <c r="AQ99" s="104">
        <f t="shared" si="108"/>
        <v>225.5</v>
      </c>
      <c r="AR99" s="42">
        <v>225.5</v>
      </c>
      <c r="AS99" s="81">
        <f t="shared" si="94"/>
        <v>0</v>
      </c>
      <c r="AT99" s="53">
        <v>18.6</v>
      </c>
      <c r="AU99" s="81">
        <f t="shared" si="101"/>
        <v>244.1</v>
      </c>
      <c r="AV99" s="81"/>
      <c r="AW99" s="267">
        <f t="shared" si="104"/>
        <v>244.1</v>
      </c>
      <c r="AX99" s="87"/>
      <c r="AY99" s="109">
        <f t="shared" si="107"/>
        <v>244.1</v>
      </c>
      <c r="AZ99" s="35"/>
      <c r="BA99" s="105">
        <f t="shared" si="72"/>
        <v>244.1</v>
      </c>
    </row>
    <row r="100" s="7" customFormat="1" ht="51" customHeight="1" spans="1:53">
      <c r="A100" s="166" t="s">
        <v>35</v>
      </c>
      <c r="B100" s="154" t="s">
        <v>165</v>
      </c>
      <c r="C100" s="167" t="s">
        <v>166</v>
      </c>
      <c r="D100" s="168"/>
      <c r="E100" s="168"/>
      <c r="F100" s="169"/>
      <c r="G100" s="169"/>
      <c r="H100" s="170"/>
      <c r="I100" s="170"/>
      <c r="J100" s="194"/>
      <c r="K100" s="195"/>
      <c r="L100" s="63"/>
      <c r="M100" s="151"/>
      <c r="N100" s="63"/>
      <c r="O100" s="79"/>
      <c r="P100" s="196"/>
      <c r="Q100" s="21"/>
      <c r="R100" s="101"/>
      <c r="S100" s="212"/>
      <c r="T100" s="194"/>
      <c r="U100" s="21"/>
      <c r="V100" s="213"/>
      <c r="W100" s="214"/>
      <c r="X100" s="215"/>
      <c r="Y100" s="232"/>
      <c r="Z100" s="233"/>
      <c r="AA100" s="234">
        <f>SUM(AA101)</f>
        <v>0</v>
      </c>
      <c r="AB100" s="132">
        <f t="shared" ref="AB100:AI100" si="114">SUM(AB101)</f>
        <v>85</v>
      </c>
      <c r="AC100" s="132">
        <f t="shared" si="114"/>
        <v>85</v>
      </c>
      <c r="AD100" s="132">
        <f t="shared" si="114"/>
        <v>0</v>
      </c>
      <c r="AE100" s="234">
        <f t="shared" si="114"/>
        <v>85</v>
      </c>
      <c r="AF100" s="234">
        <f t="shared" si="114"/>
        <v>30</v>
      </c>
      <c r="AG100" s="234">
        <f t="shared" si="114"/>
        <v>115</v>
      </c>
      <c r="AH100" s="234">
        <f t="shared" si="114"/>
        <v>0</v>
      </c>
      <c r="AI100" s="234">
        <f t="shared" si="114"/>
        <v>115</v>
      </c>
      <c r="AJ100" s="234">
        <f t="shared" ref="AJ100:AS100" si="115">SUM(AJ101)</f>
        <v>400</v>
      </c>
      <c r="AK100" s="234">
        <f t="shared" si="115"/>
        <v>515</v>
      </c>
      <c r="AL100" s="234">
        <f t="shared" si="115"/>
        <v>50</v>
      </c>
      <c r="AM100" s="234">
        <f t="shared" si="115"/>
        <v>565</v>
      </c>
      <c r="AN100" s="234">
        <f t="shared" si="115"/>
        <v>0</v>
      </c>
      <c r="AO100" s="234">
        <f t="shared" si="115"/>
        <v>565</v>
      </c>
      <c r="AP100" s="104">
        <f t="shared" si="115"/>
        <v>0</v>
      </c>
      <c r="AQ100" s="234">
        <f t="shared" si="115"/>
        <v>565</v>
      </c>
      <c r="AR100" s="132">
        <f t="shared" si="115"/>
        <v>0</v>
      </c>
      <c r="AS100" s="234">
        <f t="shared" si="115"/>
        <v>-565</v>
      </c>
      <c r="AT100" s="245"/>
      <c r="AU100" s="245"/>
      <c r="AV100" s="245"/>
      <c r="AW100" s="260">
        <f>SUM(AW101)</f>
        <v>0</v>
      </c>
      <c r="AX100" s="100">
        <f t="shared" ref="AX100:BA100" si="116">SUM(AX101)</f>
        <v>150</v>
      </c>
      <c r="AY100" s="100">
        <f t="shared" si="116"/>
        <v>150</v>
      </c>
      <c r="AZ100" s="100">
        <f t="shared" si="116"/>
        <v>0</v>
      </c>
      <c r="BA100" s="100">
        <f t="shared" si="116"/>
        <v>150</v>
      </c>
    </row>
    <row r="101" s="7" customFormat="1" ht="57" customHeight="1" spans="1:53">
      <c r="A101" s="171" t="s">
        <v>69</v>
      </c>
      <c r="B101" s="172" t="s">
        <v>167</v>
      </c>
      <c r="C101" s="173" t="s">
        <v>168</v>
      </c>
      <c r="D101" s="174"/>
      <c r="E101" s="174"/>
      <c r="F101" s="175"/>
      <c r="G101" s="175"/>
      <c r="H101" s="176"/>
      <c r="I101" s="176"/>
      <c r="J101" s="197"/>
      <c r="K101" s="198"/>
      <c r="L101" s="199"/>
      <c r="M101" s="200"/>
      <c r="N101" s="199"/>
      <c r="O101" s="201"/>
      <c r="P101" s="202"/>
      <c r="Q101" s="216"/>
      <c r="R101" s="217"/>
      <c r="S101" s="218"/>
      <c r="T101" s="197"/>
      <c r="U101" s="216"/>
      <c r="V101" s="219"/>
      <c r="W101" s="220"/>
      <c r="X101" s="221"/>
      <c r="Y101" s="235"/>
      <c r="Z101" s="236"/>
      <c r="AA101" s="237">
        <v>0</v>
      </c>
      <c r="AB101" s="238">
        <f>35+50</f>
        <v>85</v>
      </c>
      <c r="AC101" s="239">
        <f t="shared" ref="AC101:AC108" si="117">SUM(AA101:AB101)</f>
        <v>85</v>
      </c>
      <c r="AD101" s="240"/>
      <c r="AE101" s="241">
        <f t="shared" si="57"/>
        <v>85</v>
      </c>
      <c r="AF101" s="197">
        <v>30</v>
      </c>
      <c r="AG101" s="237">
        <f t="shared" si="71"/>
        <v>115</v>
      </c>
      <c r="AH101" s="236"/>
      <c r="AI101" s="237">
        <f t="shared" si="67"/>
        <v>115</v>
      </c>
      <c r="AJ101" s="197">
        <v>400</v>
      </c>
      <c r="AK101" s="237">
        <f t="shared" si="86"/>
        <v>515</v>
      </c>
      <c r="AL101" s="197">
        <v>50</v>
      </c>
      <c r="AM101" s="237">
        <f t="shared" si="87"/>
        <v>565</v>
      </c>
      <c r="AN101" s="252"/>
      <c r="AO101" s="237">
        <f t="shared" si="88"/>
        <v>565</v>
      </c>
      <c r="AP101" s="257"/>
      <c r="AQ101" s="237">
        <f>SUM(AO101,AP101)</f>
        <v>565</v>
      </c>
      <c r="AR101" s="258"/>
      <c r="AS101" s="197">
        <f t="shared" si="94"/>
        <v>-565</v>
      </c>
      <c r="AW101" s="268">
        <v>0</v>
      </c>
      <c r="AX101" s="269">
        <v>150</v>
      </c>
      <c r="AY101" s="109">
        <f>SUM(AX101,AW101)</f>
        <v>150</v>
      </c>
      <c r="AZ101" s="223"/>
      <c r="BA101" s="105">
        <f t="shared" si="72"/>
        <v>150</v>
      </c>
    </row>
    <row r="102" s="8" customFormat="1" ht="63" customHeight="1" spans="1:53">
      <c r="A102" s="177" t="s">
        <v>35</v>
      </c>
      <c r="B102" s="178" t="s">
        <v>169</v>
      </c>
      <c r="C102" s="167" t="s">
        <v>170</v>
      </c>
      <c r="D102" s="168"/>
      <c r="E102" s="168"/>
      <c r="F102" s="169"/>
      <c r="G102" s="169"/>
      <c r="H102" s="170"/>
      <c r="I102" s="170"/>
      <c r="J102" s="194"/>
      <c r="K102" s="195"/>
      <c r="L102" s="63"/>
      <c r="M102" s="151"/>
      <c r="N102" s="63"/>
      <c r="O102" s="79"/>
      <c r="P102" s="196"/>
      <c r="Q102" s="21"/>
      <c r="R102" s="101"/>
      <c r="S102" s="212"/>
      <c r="T102" s="194"/>
      <c r="U102" s="21"/>
      <c r="V102" s="213"/>
      <c r="W102" s="214"/>
      <c r="X102" s="215"/>
      <c r="Y102" s="232"/>
      <c r="Z102" s="233"/>
      <c r="AA102" s="234"/>
      <c r="AB102" s="132"/>
      <c r="AC102" s="123"/>
      <c r="AD102" s="242"/>
      <c r="AE102" s="130"/>
      <c r="AF102" s="243"/>
      <c r="AG102" s="130"/>
      <c r="AH102" s="233"/>
      <c r="AI102" s="234"/>
      <c r="AJ102" s="194"/>
      <c r="AK102" s="234"/>
      <c r="AL102" s="194"/>
      <c r="AM102" s="234"/>
      <c r="AN102" s="253"/>
      <c r="AO102" s="234"/>
      <c r="AP102" s="259"/>
      <c r="AQ102" s="234"/>
      <c r="AR102" s="37"/>
      <c r="AS102" s="51">
        <f t="shared" ref="AS102:AS104" si="118">AQ102+AR102</f>
        <v>0</v>
      </c>
      <c r="AT102" s="260"/>
      <c r="AU102" s="261"/>
      <c r="AV102" s="260">
        <f>SUM(AS102,AU102)</f>
        <v>0</v>
      </c>
      <c r="AW102" s="260">
        <f>SUM(AW103:AW105)</f>
        <v>1828.94737</v>
      </c>
      <c r="AX102" s="100">
        <f>SUM(AX103:AX105)</f>
        <v>250</v>
      </c>
      <c r="AY102" s="100">
        <f>SUM(AY103:AY105)</f>
        <v>2078.94737</v>
      </c>
      <c r="AZ102" s="100">
        <f t="shared" ref="AZ102:BA102" si="119">SUM(AZ103:AZ105)</f>
        <v>0</v>
      </c>
      <c r="BA102" s="100">
        <f t="shared" si="119"/>
        <v>2078.94737</v>
      </c>
    </row>
    <row r="103" s="7" customFormat="1" ht="48.75" customHeight="1" spans="1:53">
      <c r="A103" s="179" t="s">
        <v>49</v>
      </c>
      <c r="B103" s="180" t="s">
        <v>171</v>
      </c>
      <c r="C103" s="181" t="s">
        <v>172</v>
      </c>
      <c r="D103" s="182"/>
      <c r="E103" s="182"/>
      <c r="F103" s="183"/>
      <c r="G103" s="183"/>
      <c r="H103" s="184"/>
      <c r="I103" s="184"/>
      <c r="J103" s="81"/>
      <c r="K103" s="195"/>
      <c r="L103" s="42"/>
      <c r="M103" s="53"/>
      <c r="N103" s="42"/>
      <c r="O103" s="43"/>
      <c r="P103" s="203"/>
      <c r="Q103" s="89"/>
      <c r="R103" s="210"/>
      <c r="S103" s="222"/>
      <c r="T103" s="81"/>
      <c r="U103" s="89"/>
      <c r="V103" s="223"/>
      <c r="W103" s="107"/>
      <c r="X103" s="105"/>
      <c r="Y103" s="244"/>
      <c r="Z103" s="245"/>
      <c r="AA103" s="104"/>
      <c r="AB103" s="134"/>
      <c r="AC103" s="133"/>
      <c r="AD103" s="246"/>
      <c r="AE103" s="126"/>
      <c r="AF103" s="247"/>
      <c r="AG103" s="126"/>
      <c r="AH103" s="245"/>
      <c r="AI103" s="104"/>
      <c r="AJ103" s="81"/>
      <c r="AK103" s="104"/>
      <c r="AL103" s="81"/>
      <c r="AM103" s="104"/>
      <c r="AN103" s="254"/>
      <c r="AO103" s="104"/>
      <c r="AP103" s="262"/>
      <c r="AQ103" s="104"/>
      <c r="AR103" s="51"/>
      <c r="AS103" s="51">
        <f t="shared" ref="AS103" si="120">AQ103+AR103</f>
        <v>0</v>
      </c>
      <c r="AT103" s="260"/>
      <c r="AU103" s="263"/>
      <c r="AV103" s="260">
        <f>SUM(AS103,AU103)</f>
        <v>0</v>
      </c>
      <c r="AW103" s="267">
        <v>0</v>
      </c>
      <c r="AX103" s="270">
        <v>250</v>
      </c>
      <c r="AY103" s="109">
        <v>250</v>
      </c>
      <c r="AZ103" s="271"/>
      <c r="BA103" s="105">
        <f t="shared" si="72"/>
        <v>250</v>
      </c>
    </row>
    <row r="104" s="7" customFormat="1" ht="48.75" customHeight="1" spans="1:53">
      <c r="A104" s="179" t="s">
        <v>54</v>
      </c>
      <c r="B104" s="180" t="s">
        <v>171</v>
      </c>
      <c r="C104" s="181" t="s">
        <v>172</v>
      </c>
      <c r="D104" s="182"/>
      <c r="E104" s="182"/>
      <c r="F104" s="183"/>
      <c r="G104" s="183"/>
      <c r="H104" s="184"/>
      <c r="I104" s="184"/>
      <c r="J104" s="81"/>
      <c r="K104" s="195"/>
      <c r="L104" s="42"/>
      <c r="M104" s="53"/>
      <c r="N104" s="42"/>
      <c r="O104" s="43"/>
      <c r="P104" s="203"/>
      <c r="Q104" s="89"/>
      <c r="R104" s="210"/>
      <c r="S104" s="222"/>
      <c r="T104" s="81"/>
      <c r="U104" s="89"/>
      <c r="V104" s="223"/>
      <c r="W104" s="107"/>
      <c r="X104" s="105"/>
      <c r="Y104" s="244"/>
      <c r="Z104" s="245"/>
      <c r="AA104" s="104"/>
      <c r="AB104" s="134"/>
      <c r="AC104" s="133"/>
      <c r="AD104" s="246"/>
      <c r="AE104" s="126"/>
      <c r="AF104" s="247"/>
      <c r="AG104" s="126"/>
      <c r="AH104" s="245"/>
      <c r="AI104" s="104"/>
      <c r="AJ104" s="81"/>
      <c r="AK104" s="104"/>
      <c r="AL104" s="81"/>
      <c r="AM104" s="104"/>
      <c r="AN104" s="254"/>
      <c r="AO104" s="104"/>
      <c r="AP104" s="262"/>
      <c r="AQ104" s="104"/>
      <c r="AR104" s="51"/>
      <c r="AS104" s="51">
        <f t="shared" si="118"/>
        <v>0</v>
      </c>
      <c r="AT104" s="260"/>
      <c r="AU104" s="263"/>
      <c r="AV104" s="260">
        <f>SUM(AS104,AU104)</f>
        <v>0</v>
      </c>
      <c r="AW104" s="267">
        <v>1178.94737</v>
      </c>
      <c r="AX104" s="272"/>
      <c r="AY104" s="109">
        <f t="shared" ref="AY104:AY105" si="121">SUM(AW104:AX104)</f>
        <v>1178.94737</v>
      </c>
      <c r="AZ104" s="271"/>
      <c r="BA104" s="105">
        <f t="shared" si="72"/>
        <v>1178.94737</v>
      </c>
    </row>
    <row r="105" s="7" customFormat="1" ht="48.75" customHeight="1" spans="1:53">
      <c r="A105" s="179" t="s">
        <v>173</v>
      </c>
      <c r="B105" s="180" t="s">
        <v>171</v>
      </c>
      <c r="C105" s="181" t="s">
        <v>172</v>
      </c>
      <c r="D105" s="182"/>
      <c r="E105" s="182"/>
      <c r="F105" s="183"/>
      <c r="G105" s="183"/>
      <c r="H105" s="184"/>
      <c r="I105" s="184"/>
      <c r="J105" s="81"/>
      <c r="K105" s="195"/>
      <c r="L105" s="42"/>
      <c r="M105" s="53"/>
      <c r="N105" s="42"/>
      <c r="O105" s="43"/>
      <c r="P105" s="203"/>
      <c r="Q105" s="89"/>
      <c r="R105" s="210"/>
      <c r="S105" s="222"/>
      <c r="T105" s="81"/>
      <c r="U105" s="89"/>
      <c r="V105" s="223"/>
      <c r="W105" s="107"/>
      <c r="X105" s="105"/>
      <c r="Y105" s="244"/>
      <c r="Z105" s="245"/>
      <c r="AA105" s="104"/>
      <c r="AB105" s="134"/>
      <c r="AC105" s="133"/>
      <c r="AD105" s="246"/>
      <c r="AE105" s="126"/>
      <c r="AF105" s="247"/>
      <c r="AG105" s="126"/>
      <c r="AH105" s="245"/>
      <c r="AI105" s="104"/>
      <c r="AJ105" s="81"/>
      <c r="AK105" s="104"/>
      <c r="AL105" s="81"/>
      <c r="AM105" s="104"/>
      <c r="AN105" s="254"/>
      <c r="AO105" s="104"/>
      <c r="AP105" s="262"/>
      <c r="AQ105" s="104"/>
      <c r="AR105" s="51"/>
      <c r="AS105" s="51"/>
      <c r="AT105" s="264"/>
      <c r="AU105" s="265"/>
      <c r="AV105" s="264"/>
      <c r="AW105" s="267">
        <v>650</v>
      </c>
      <c r="AX105" s="272"/>
      <c r="AY105" s="109">
        <f t="shared" si="121"/>
        <v>650</v>
      </c>
      <c r="AZ105" s="271"/>
      <c r="BA105" s="105">
        <f t="shared" si="72"/>
        <v>650</v>
      </c>
    </row>
    <row r="106" ht="39.75" customHeight="1" spans="1:53">
      <c r="A106" s="45" t="s">
        <v>35</v>
      </c>
      <c r="B106" s="35" t="s">
        <v>174</v>
      </c>
      <c r="C106" s="185" t="s">
        <v>175</v>
      </c>
      <c r="D106" s="186"/>
      <c r="E106" s="187"/>
      <c r="F106" s="187"/>
      <c r="G106" s="187"/>
      <c r="H106" s="187"/>
      <c r="I106" s="103"/>
      <c r="J106" s="204"/>
      <c r="K106" s="204"/>
      <c r="L106" s="204"/>
      <c r="M106" s="204"/>
      <c r="N106" s="51"/>
      <c r="O106" s="85"/>
      <c r="P106" s="205"/>
      <c r="Q106" s="224"/>
      <c r="R106" s="106"/>
      <c r="S106" s="103"/>
      <c r="T106" s="103"/>
      <c r="V106" s="103"/>
      <c r="W106" s="103"/>
      <c r="X106" s="103"/>
      <c r="Y106" s="103"/>
      <c r="Z106" s="103"/>
      <c r="AA106" s="194">
        <f>SUM(AA107:AA108)</f>
        <v>0</v>
      </c>
      <c r="AB106" s="63">
        <f t="shared" ref="AB106:AI106" si="122">SUM(AB107:AB108)</f>
        <v>-3998.86</v>
      </c>
      <c r="AC106" s="248">
        <f t="shared" si="122"/>
        <v>-3998.86</v>
      </c>
      <c r="AD106" s="248">
        <f t="shared" si="122"/>
        <v>0</v>
      </c>
      <c r="AE106" s="243">
        <f t="shared" si="122"/>
        <v>-3998.86</v>
      </c>
      <c r="AF106" s="243">
        <f t="shared" si="122"/>
        <v>0</v>
      </c>
      <c r="AG106" s="243">
        <f t="shared" si="122"/>
        <v>-3998.86</v>
      </c>
      <c r="AH106" s="194">
        <f t="shared" si="122"/>
        <v>0</v>
      </c>
      <c r="AI106" s="234">
        <f t="shared" si="122"/>
        <v>-3998.86</v>
      </c>
      <c r="AJ106" s="234">
        <f t="shared" ref="AJ106:AS106" si="123">SUM(AJ107:AJ108)</f>
        <v>0</v>
      </c>
      <c r="AK106" s="234">
        <f t="shared" si="123"/>
        <v>-3998.86</v>
      </c>
      <c r="AL106" s="234">
        <f t="shared" si="123"/>
        <v>0</v>
      </c>
      <c r="AM106" s="234">
        <f t="shared" si="123"/>
        <v>-3998.86</v>
      </c>
      <c r="AN106" s="234">
        <f t="shared" si="123"/>
        <v>0</v>
      </c>
      <c r="AO106" s="234">
        <f t="shared" si="123"/>
        <v>-3998.86</v>
      </c>
      <c r="AP106" s="104">
        <f t="shared" si="123"/>
        <v>0</v>
      </c>
      <c r="AQ106" s="234">
        <f t="shared" si="123"/>
        <v>-3998.86</v>
      </c>
      <c r="AR106" s="132">
        <f t="shared" si="123"/>
        <v>0</v>
      </c>
      <c r="AS106" s="234">
        <f t="shared" si="123"/>
        <v>3998.86</v>
      </c>
      <c r="AW106" s="273">
        <f>AW107+AW108</f>
        <v>-579.17406</v>
      </c>
      <c r="AX106" s="274">
        <f t="shared" ref="AX106:BA106" si="124">AX107+AX108</f>
        <v>0</v>
      </c>
      <c r="AY106" s="274">
        <f t="shared" si="124"/>
        <v>-579.17406</v>
      </c>
      <c r="AZ106" s="274">
        <f t="shared" si="124"/>
        <v>0</v>
      </c>
      <c r="BA106" s="274">
        <f t="shared" si="124"/>
        <v>-579.17406</v>
      </c>
    </row>
    <row r="107" ht="47.25" customHeight="1" spans="1:53">
      <c r="A107" s="34" t="s">
        <v>54</v>
      </c>
      <c r="B107" s="40" t="s">
        <v>176</v>
      </c>
      <c r="C107" s="181" t="s">
        <v>177</v>
      </c>
      <c r="D107" s="186"/>
      <c r="E107" s="187"/>
      <c r="F107" s="187"/>
      <c r="G107" s="187"/>
      <c r="H107" s="187"/>
      <c r="I107" s="103"/>
      <c r="J107" s="204"/>
      <c r="K107" s="204"/>
      <c r="L107" s="204"/>
      <c r="M107" s="204"/>
      <c r="N107" s="51"/>
      <c r="O107" s="85"/>
      <c r="P107" s="205"/>
      <c r="Q107" s="224"/>
      <c r="R107" s="106"/>
      <c r="S107" s="103"/>
      <c r="T107" s="103"/>
      <c r="V107" s="103"/>
      <c r="W107" s="103"/>
      <c r="X107" s="103"/>
      <c r="Y107" s="103"/>
      <c r="Z107" s="103"/>
      <c r="AA107" s="81">
        <v>0</v>
      </c>
      <c r="AB107" s="42">
        <v>-413.297</v>
      </c>
      <c r="AC107" s="133">
        <f t="shared" si="117"/>
        <v>-413.297</v>
      </c>
      <c r="AD107" s="115"/>
      <c r="AE107" s="126">
        <f t="shared" si="57"/>
        <v>-413.297</v>
      </c>
      <c r="AF107" s="53"/>
      <c r="AG107" s="104">
        <f t="shared" si="71"/>
        <v>-413.297</v>
      </c>
      <c r="AH107" s="103"/>
      <c r="AI107" s="104">
        <f t="shared" si="67"/>
        <v>-413.297</v>
      </c>
      <c r="AJ107" s="255"/>
      <c r="AK107" s="104">
        <f t="shared" si="86"/>
        <v>-413.297</v>
      </c>
      <c r="AL107" s="40"/>
      <c r="AM107" s="104">
        <f t="shared" si="87"/>
        <v>-413.297</v>
      </c>
      <c r="AN107" s="255"/>
      <c r="AO107" s="104">
        <f t="shared" si="88"/>
        <v>-413.297</v>
      </c>
      <c r="AP107" s="85"/>
      <c r="AQ107" s="104">
        <f>SUM(AO107,AP107)</f>
        <v>-413.297</v>
      </c>
      <c r="AR107" s="42"/>
      <c r="AS107" s="81">
        <f t="shared" si="94"/>
        <v>413.297</v>
      </c>
      <c r="AW107" s="275">
        <v>-245.77406</v>
      </c>
      <c r="AX107" s="276"/>
      <c r="AY107" s="109">
        <f t="shared" ref="AY107:AY108" si="125">SUM(AW107:AX107)</f>
        <v>-245.77406</v>
      </c>
      <c r="AZ107" s="40"/>
      <c r="BA107" s="105">
        <f t="shared" si="72"/>
        <v>-245.77406</v>
      </c>
    </row>
    <row r="108" ht="42" customHeight="1" spans="1:53">
      <c r="A108" s="34" t="s">
        <v>64</v>
      </c>
      <c r="B108" s="40" t="s">
        <v>176</v>
      </c>
      <c r="C108" s="181" t="s">
        <v>177</v>
      </c>
      <c r="D108" s="186"/>
      <c r="E108" s="187"/>
      <c r="F108" s="187"/>
      <c r="G108" s="187"/>
      <c r="H108" s="187"/>
      <c r="I108" s="103"/>
      <c r="J108" s="204"/>
      <c r="K108" s="204"/>
      <c r="L108" s="204"/>
      <c r="M108" s="204"/>
      <c r="N108" s="51"/>
      <c r="O108" s="85"/>
      <c r="P108" s="205"/>
      <c r="Q108" s="224"/>
      <c r="R108" s="106"/>
      <c r="S108" s="103"/>
      <c r="T108" s="103"/>
      <c r="V108" s="103"/>
      <c r="W108" s="103"/>
      <c r="X108" s="103"/>
      <c r="Y108" s="103"/>
      <c r="Z108" s="103"/>
      <c r="AA108" s="81">
        <v>0</v>
      </c>
      <c r="AB108" s="42">
        <v>-3585.563</v>
      </c>
      <c r="AC108" s="133">
        <f t="shared" si="117"/>
        <v>-3585.563</v>
      </c>
      <c r="AD108" s="115"/>
      <c r="AE108" s="126">
        <f t="shared" si="57"/>
        <v>-3585.563</v>
      </c>
      <c r="AF108" s="53"/>
      <c r="AG108" s="104">
        <f t="shared" si="71"/>
        <v>-3585.563</v>
      </c>
      <c r="AH108" s="103"/>
      <c r="AI108" s="104">
        <f t="shared" si="67"/>
        <v>-3585.563</v>
      </c>
      <c r="AJ108" s="255"/>
      <c r="AK108" s="104">
        <f t="shared" si="86"/>
        <v>-3585.563</v>
      </c>
      <c r="AL108" s="40"/>
      <c r="AM108" s="104">
        <f t="shared" si="87"/>
        <v>-3585.563</v>
      </c>
      <c r="AN108" s="255"/>
      <c r="AO108" s="104">
        <f t="shared" si="88"/>
        <v>-3585.563</v>
      </c>
      <c r="AP108" s="85"/>
      <c r="AQ108" s="104">
        <f>SUM(AO108,AP108)</f>
        <v>-3585.563</v>
      </c>
      <c r="AR108" s="42"/>
      <c r="AS108" s="81">
        <f t="shared" si="94"/>
        <v>3585.563</v>
      </c>
      <c r="AW108" s="277">
        <v>-333.4</v>
      </c>
      <c r="AX108" s="276"/>
      <c r="AY108" s="109">
        <f t="shared" si="125"/>
        <v>-333.4</v>
      </c>
      <c r="AZ108" s="40"/>
      <c r="BA108" s="105">
        <f t="shared" si="72"/>
        <v>-333.4</v>
      </c>
    </row>
    <row r="109" spans="21:52">
      <c r="U109" s="225"/>
      <c r="AB109" s="156"/>
      <c r="AC109" s="156"/>
      <c r="AD109" s="156"/>
      <c r="AR109" s="266"/>
      <c r="AX109" s="156"/>
      <c r="AY109" s="156"/>
      <c r="AZ109" s="188"/>
    </row>
    <row r="110" spans="52:52">
      <c r="AZ110" s="188"/>
    </row>
    <row r="111" spans="3:52">
      <c r="C111" s="188"/>
      <c r="AY111" s="278"/>
      <c r="AZ111" s="188"/>
    </row>
    <row r="112" spans="3:52">
      <c r="C112" s="188"/>
      <c r="AY112" s="278"/>
      <c r="AZ112" s="188"/>
    </row>
    <row r="113" spans="3:52">
      <c r="C113" s="188"/>
      <c r="D113" s="189"/>
      <c r="E113" s="190"/>
      <c r="F113" s="190"/>
      <c r="G113" s="190"/>
      <c r="H113" s="190"/>
      <c r="I113" s="188"/>
      <c r="J113" s="17"/>
      <c r="K113" s="17"/>
      <c r="L113" s="17"/>
      <c r="M113" s="17"/>
      <c r="P113" s="206"/>
      <c r="Q113" s="226"/>
      <c r="R113" s="227"/>
      <c r="S113" s="188"/>
      <c r="T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278"/>
      <c r="AZ113" s="188"/>
    </row>
    <row r="114" spans="3:52">
      <c r="C114" s="188"/>
      <c r="D114" s="189"/>
      <c r="E114" s="190"/>
      <c r="F114" s="190"/>
      <c r="G114" s="190"/>
      <c r="H114" s="190"/>
      <c r="I114" s="188"/>
      <c r="J114" s="17"/>
      <c r="K114" s="17"/>
      <c r="L114" s="17"/>
      <c r="M114" s="17"/>
      <c r="P114" s="206"/>
      <c r="Q114" s="226"/>
      <c r="R114" s="227"/>
      <c r="S114" s="188"/>
      <c r="T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278"/>
      <c r="AZ114" s="188"/>
    </row>
    <row r="115" spans="3:52">
      <c r="C115" s="153"/>
      <c r="D115" s="191"/>
      <c r="E115" s="192"/>
      <c r="F115" s="192"/>
      <c r="G115" s="192"/>
      <c r="H115" s="192"/>
      <c r="I115" s="153"/>
      <c r="J115" s="23"/>
      <c r="K115" s="23"/>
      <c r="L115" s="23"/>
      <c r="M115" s="23"/>
      <c r="N115" s="207"/>
      <c r="O115" s="23"/>
      <c r="P115" s="208"/>
      <c r="Q115" s="228"/>
      <c r="R115" s="229"/>
      <c r="S115" s="153"/>
      <c r="T115" s="15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279"/>
      <c r="AX115" s="279"/>
      <c r="AY115" s="279"/>
      <c r="AZ115" s="188"/>
    </row>
    <row r="117" spans="51:51">
      <c r="AY117" s="280"/>
    </row>
    <row r="119" spans="51:51">
      <c r="AY119" s="281"/>
    </row>
    <row r="120" spans="51:51">
      <c r="AY120" s="281"/>
    </row>
  </sheetData>
  <autoFilter ref="A11:BC108">
    <extLst/>
  </autoFilter>
  <mergeCells count="9">
    <mergeCell ref="A1:Y1"/>
    <mergeCell ref="A2:Y2"/>
    <mergeCell ref="A3:Y3"/>
    <mergeCell ref="A4:Y4"/>
    <mergeCell ref="A5:D5"/>
    <mergeCell ref="A6:Y6"/>
    <mergeCell ref="A7:Y7"/>
    <mergeCell ref="A9:Y9"/>
    <mergeCell ref="K10:L10"/>
  </mergeCells>
  <printOptions horizontalCentered="1"/>
  <pageMargins left="0.236220472440945" right="0.236220472440945" top="0.748031496062992" bottom="0.748031496062992" header="0.31496062992126" footer="0.31496062992126"/>
  <pageSetup paperSize="9" scale="31" fitToWidth="0" fitToHeight="0" orientation="portrait"/>
  <headerFooter alignWithMargins="0"/>
  <rowBreaks count="2" manualBreakCount="2">
    <brk id="45" max="52" man="1"/>
    <brk id="82" max="5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WPS_1673250144</cp:lastModifiedBy>
  <dcterms:created xsi:type="dcterms:W3CDTF">2001-12-21T04:25:00Z</dcterms:created>
  <cp:lastPrinted>2023-09-06T09:11:00Z</cp:lastPrinted>
  <dcterms:modified xsi:type="dcterms:W3CDTF">2023-09-11T01:06:20Z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CC4FC9BF0ECA4B81B27638B67E9D61E3_12</vt:lpwstr>
  </property>
  <property fmtid="{D5CDD505-2E9C-101B-9397-08002B2CF9AE}" pid="3" name="KSOProductBuildVer">
    <vt:lpwstr>1049-12.2.0.13201</vt:lpwstr>
  </property>
</Properties>
</file>