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28455" windowHeight="11730"/>
  </bookViews>
  <sheets>
    <sheet name="Изм прогр.31.12.19" sheetId="1" r:id="rId1"/>
  </sheets>
  <definedNames>
    <definedName name="_xlnm.Print_Area" localSheetId="0">'Изм прогр.31.12.19'!$A$1:$AC$128</definedName>
  </definedNames>
  <calcPr calcId="124519"/>
</workbook>
</file>

<file path=xl/calcChain.xml><?xml version="1.0" encoding="utf-8"?>
<calcChain xmlns="http://schemas.openxmlformats.org/spreadsheetml/2006/main">
  <c r="AB117" i="1"/>
  <c r="AA117"/>
  <c r="Z117"/>
  <c r="Y117"/>
  <c r="S117"/>
  <c r="N117"/>
  <c r="AB116"/>
  <c r="AA116"/>
  <c r="Z116"/>
  <c r="Y116"/>
  <c r="S116"/>
  <c r="N116"/>
  <c r="I116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AB114"/>
  <c r="AA114"/>
  <c r="T114"/>
  <c r="S114" s="1"/>
  <c r="S113" s="1"/>
  <c r="O114"/>
  <c r="N114" s="1"/>
  <c r="N113" s="1"/>
  <c r="I114"/>
  <c r="AB113"/>
  <c r="AA113"/>
  <c r="X113"/>
  <c r="W113"/>
  <c r="V113"/>
  <c r="U113"/>
  <c r="T113"/>
  <c r="R113"/>
  <c r="Q113"/>
  <c r="P113"/>
  <c r="O113"/>
  <c r="M113"/>
  <c r="L113"/>
  <c r="K113"/>
  <c r="J113"/>
  <c r="I113"/>
  <c r="AB112"/>
  <c r="AA112"/>
  <c r="Z112"/>
  <c r="Y112" s="1"/>
  <c r="S112"/>
  <c r="N112"/>
  <c r="J112"/>
  <c r="I112" s="1"/>
  <c r="X112" s="1"/>
  <c r="AB111"/>
  <c r="U111"/>
  <c r="T111"/>
  <c r="S111" s="1"/>
  <c r="S102" s="1"/>
  <c r="S101" s="1"/>
  <c r="P111"/>
  <c r="AA111" s="1"/>
  <c r="O111"/>
  <c r="Z111" s="1"/>
  <c r="N111"/>
  <c r="I111"/>
  <c r="X111" s="1"/>
  <c r="AB110"/>
  <c r="AA110"/>
  <c r="Z110"/>
  <c r="Y110" s="1"/>
  <c r="X110"/>
  <c r="S110"/>
  <c r="N110"/>
  <c r="I110"/>
  <c r="AB109"/>
  <c r="Z109"/>
  <c r="S109"/>
  <c r="P109"/>
  <c r="AA109" s="1"/>
  <c r="K109"/>
  <c r="I109" s="1"/>
  <c r="X109" s="1"/>
  <c r="AB108"/>
  <c r="AA108"/>
  <c r="Z108"/>
  <c r="Y108" s="1"/>
  <c r="X108"/>
  <c r="S108"/>
  <c r="N108"/>
  <c r="I108"/>
  <c r="X118" s="1"/>
  <c r="AB107"/>
  <c r="AA107"/>
  <c r="Z107"/>
  <c r="Y107" s="1"/>
  <c r="X107"/>
  <c r="S107"/>
  <c r="N107"/>
  <c r="I107"/>
  <c r="AB106"/>
  <c r="AA106"/>
  <c r="Z106"/>
  <c r="Y106" s="1"/>
  <c r="X106"/>
  <c r="S106"/>
  <c r="N106"/>
  <c r="I106"/>
  <c r="AB105"/>
  <c r="AA105"/>
  <c r="Z105"/>
  <c r="Y105" s="1"/>
  <c r="X105"/>
  <c r="S105"/>
  <c r="N105"/>
  <c r="I105"/>
  <c r="AB104"/>
  <c r="AA104"/>
  <c r="Z104"/>
  <c r="Y104" s="1"/>
  <c r="S104"/>
  <c r="N104"/>
  <c r="K104"/>
  <c r="I104"/>
  <c r="X104" s="1"/>
  <c r="AB103"/>
  <c r="AA103"/>
  <c r="AA102" s="1"/>
  <c r="AA101" s="1"/>
  <c r="Z103"/>
  <c r="Y103"/>
  <c r="S103"/>
  <c r="N103"/>
  <c r="J103"/>
  <c r="I103" s="1"/>
  <c r="AB102"/>
  <c r="V102"/>
  <c r="U102"/>
  <c r="U101" s="1"/>
  <c r="T102"/>
  <c r="Q102"/>
  <c r="P102"/>
  <c r="O102"/>
  <c r="L102"/>
  <c r="K102"/>
  <c r="AB101"/>
  <c r="W101"/>
  <c r="V101"/>
  <c r="T101"/>
  <c r="R101"/>
  <c r="Q101"/>
  <c r="P101"/>
  <c r="O101"/>
  <c r="L101"/>
  <c r="K101"/>
  <c r="AB100"/>
  <c r="AA100"/>
  <c r="Z100"/>
  <c r="Y100"/>
  <c r="S100"/>
  <c r="N100"/>
  <c r="I100"/>
  <c r="X100" s="1"/>
  <c r="AB99"/>
  <c r="AA99"/>
  <c r="Z99"/>
  <c r="Y99"/>
  <c r="S99"/>
  <c r="N99"/>
  <c r="I99"/>
  <c r="AB98"/>
  <c r="AA98"/>
  <c r="Z98"/>
  <c r="Y98" s="1"/>
  <c r="X98"/>
  <c r="S98"/>
  <c r="N98"/>
  <c r="I98"/>
  <c r="AB97"/>
  <c r="Z97"/>
  <c r="S97"/>
  <c r="P97"/>
  <c r="AA97" s="1"/>
  <c r="AA95" s="1"/>
  <c r="AA94" s="1"/>
  <c r="K97"/>
  <c r="I97" s="1"/>
  <c r="AB96"/>
  <c r="AA96"/>
  <c r="Z96"/>
  <c r="Y96" s="1"/>
  <c r="X96"/>
  <c r="S96"/>
  <c r="N96"/>
  <c r="I96"/>
  <c r="AB95"/>
  <c r="Z95"/>
  <c r="V95"/>
  <c r="U95"/>
  <c r="T95"/>
  <c r="S95"/>
  <c r="Q95"/>
  <c r="P95"/>
  <c r="O95"/>
  <c r="L95"/>
  <c r="K95"/>
  <c r="J95"/>
  <c r="AB94"/>
  <c r="Z94"/>
  <c r="W94"/>
  <c r="V94"/>
  <c r="U94"/>
  <c r="T94"/>
  <c r="S94"/>
  <c r="R94"/>
  <c r="Q94"/>
  <c r="P94"/>
  <c r="O94"/>
  <c r="L94"/>
  <c r="K94"/>
  <c r="J94"/>
  <c r="AB93"/>
  <c r="AA93"/>
  <c r="Z93"/>
  <c r="Y93"/>
  <c r="S93"/>
  <c r="N93"/>
  <c r="I93"/>
  <c r="AB92"/>
  <c r="AB91" s="1"/>
  <c r="AB72" s="1"/>
  <c r="AA92"/>
  <c r="Z92"/>
  <c r="Y92" s="1"/>
  <c r="Y91" s="1"/>
  <c r="S92"/>
  <c r="S91" s="1"/>
  <c r="N92"/>
  <c r="I92"/>
  <c r="I91" s="1"/>
  <c r="AA91"/>
  <c r="W91"/>
  <c r="V91"/>
  <c r="U91"/>
  <c r="T91"/>
  <c r="R91"/>
  <c r="Q91"/>
  <c r="P91"/>
  <c r="O91"/>
  <c r="N91"/>
  <c r="M91"/>
  <c r="L91"/>
  <c r="K91"/>
  <c r="J91"/>
  <c r="AB90"/>
  <c r="AA90"/>
  <c r="Z90"/>
  <c r="Y90" s="1"/>
  <c r="X90"/>
  <c r="S90"/>
  <c r="N90"/>
  <c r="I90"/>
  <c r="AB89"/>
  <c r="AA89"/>
  <c r="Z89"/>
  <c r="Y89" s="1"/>
  <c r="X89"/>
  <c r="S89"/>
  <c r="N89"/>
  <c r="I89"/>
  <c r="AB88"/>
  <c r="AA88"/>
  <c r="Z88"/>
  <c r="Y88" s="1"/>
  <c r="Y87" s="1"/>
  <c r="X88"/>
  <c r="S88"/>
  <c r="N88"/>
  <c r="I88"/>
  <c r="AB87"/>
  <c r="AA87"/>
  <c r="Z87"/>
  <c r="W87"/>
  <c r="V87"/>
  <c r="U87"/>
  <c r="T87"/>
  <c r="S87"/>
  <c r="R87"/>
  <c r="Q87"/>
  <c r="P87"/>
  <c r="O87"/>
  <c r="N87"/>
  <c r="M87"/>
  <c r="L87"/>
  <c r="K87"/>
  <c r="J87"/>
  <c r="I87"/>
  <c r="X87" s="1"/>
  <c r="AB86"/>
  <c r="AA86"/>
  <c r="Z86"/>
  <c r="Y86" s="1"/>
  <c r="X86"/>
  <c r="S86"/>
  <c r="N86"/>
  <c r="I86"/>
  <c r="AB85"/>
  <c r="AA85"/>
  <c r="Z85"/>
  <c r="Y85" s="1"/>
  <c r="X85"/>
  <c r="S85"/>
  <c r="N85"/>
  <c r="I85"/>
  <c r="AB84"/>
  <c r="AA84"/>
  <c r="Z84"/>
  <c r="Y84" s="1"/>
  <c r="X84"/>
  <c r="S84"/>
  <c r="N84"/>
  <c r="I84"/>
  <c r="AB83"/>
  <c r="AA83"/>
  <c r="Z83"/>
  <c r="Y83" s="1"/>
  <c r="Y82" s="1"/>
  <c r="X83"/>
  <c r="S83"/>
  <c r="N83"/>
  <c r="I83"/>
  <c r="AB82"/>
  <c r="AA82"/>
  <c r="Z82"/>
  <c r="V82"/>
  <c r="U82"/>
  <c r="T82"/>
  <c r="S82"/>
  <c r="Q82"/>
  <c r="P82"/>
  <c r="O82"/>
  <c r="N82"/>
  <c r="L82"/>
  <c r="K82"/>
  <c r="J82"/>
  <c r="I82"/>
  <c r="X82" s="1"/>
  <c r="AB81"/>
  <c r="AA81"/>
  <c r="Z81"/>
  <c r="Y81"/>
  <c r="S81"/>
  <c r="N81"/>
  <c r="I81"/>
  <c r="X81" s="1"/>
  <c r="AB80"/>
  <c r="AA80"/>
  <c r="Z80"/>
  <c r="Y80"/>
  <c r="S80"/>
  <c r="N80"/>
  <c r="K80"/>
  <c r="I80" s="1"/>
  <c r="X80" s="1"/>
  <c r="AB79"/>
  <c r="AA79"/>
  <c r="Z79"/>
  <c r="Y79" s="1"/>
  <c r="X79"/>
  <c r="S79"/>
  <c r="N79"/>
  <c r="I79"/>
  <c r="AB78"/>
  <c r="X78"/>
  <c r="U78"/>
  <c r="T78"/>
  <c r="S78" s="1"/>
  <c r="S73" s="1"/>
  <c r="S72" s="1"/>
  <c r="P78"/>
  <c r="AA78" s="1"/>
  <c r="O78"/>
  <c r="N78"/>
  <c r="I78"/>
  <c r="AB77"/>
  <c r="Z77"/>
  <c r="S77"/>
  <c r="P77"/>
  <c r="AA77" s="1"/>
  <c r="K77"/>
  <c r="I77" s="1"/>
  <c r="X77" s="1"/>
  <c r="AB76"/>
  <c r="AA76"/>
  <c r="Z76"/>
  <c r="Y76" s="1"/>
  <c r="X76"/>
  <c r="S76"/>
  <c r="N76"/>
  <c r="I76"/>
  <c r="AB75"/>
  <c r="AA75"/>
  <c r="Z75"/>
  <c r="Y75" s="1"/>
  <c r="S75"/>
  <c r="N75"/>
  <c r="J75"/>
  <c r="I75"/>
  <c r="X75" s="1"/>
  <c r="AB74"/>
  <c r="AA74"/>
  <c r="Z74"/>
  <c r="Y74"/>
  <c r="S74"/>
  <c r="N74"/>
  <c r="K74"/>
  <c r="I74" s="1"/>
  <c r="AB73"/>
  <c r="V73"/>
  <c r="U73"/>
  <c r="T73"/>
  <c r="Q73"/>
  <c r="P73"/>
  <c r="O73"/>
  <c r="L73"/>
  <c r="K73"/>
  <c r="J73"/>
  <c r="V72"/>
  <c r="U72"/>
  <c r="T72"/>
  <c r="Q72"/>
  <c r="P72"/>
  <c r="O72"/>
  <c r="M72"/>
  <c r="L72"/>
  <c r="K72"/>
  <c r="J72"/>
  <c r="AB71"/>
  <c r="AB70" s="1"/>
  <c r="AB30" s="1"/>
  <c r="AA71"/>
  <c r="Z71"/>
  <c r="Y71" s="1"/>
  <c r="Y70" s="1"/>
  <c r="S71"/>
  <c r="N71"/>
  <c r="I71"/>
  <c r="AA70"/>
  <c r="V70"/>
  <c r="U70"/>
  <c r="T70"/>
  <c r="S70"/>
  <c r="Q70"/>
  <c r="P70"/>
  <c r="O70"/>
  <c r="N70"/>
  <c r="L70"/>
  <c r="K70"/>
  <c r="J70"/>
  <c r="I70"/>
  <c r="AB69"/>
  <c r="AA69"/>
  <c r="AA68" s="1"/>
  <c r="Z69"/>
  <c r="Y69"/>
  <c r="Y68" s="1"/>
  <c r="S69"/>
  <c r="N69"/>
  <c r="J69"/>
  <c r="I69" s="1"/>
  <c r="AB68"/>
  <c r="Z68"/>
  <c r="V68"/>
  <c r="U68"/>
  <c r="T68"/>
  <c r="S68"/>
  <c r="Q68"/>
  <c r="P68"/>
  <c r="O68"/>
  <c r="N68"/>
  <c r="L68"/>
  <c r="K68"/>
  <c r="J68"/>
  <c r="AB67"/>
  <c r="AA67"/>
  <c r="Z67"/>
  <c r="Y67"/>
  <c r="S67"/>
  <c r="N67"/>
  <c r="I67"/>
  <c r="X67" s="1"/>
  <c r="AB66"/>
  <c r="AA66"/>
  <c r="Z66"/>
  <c r="Y66"/>
  <c r="S66"/>
  <c r="N66"/>
  <c r="I66"/>
  <c r="X66" s="1"/>
  <c r="AB65"/>
  <c r="AA65"/>
  <c r="Z65"/>
  <c r="Y65"/>
  <c r="S65"/>
  <c r="N65"/>
  <c r="I65"/>
  <c r="X65" s="1"/>
  <c r="AB64"/>
  <c r="AA64"/>
  <c r="Z64"/>
  <c r="Y64"/>
  <c r="S64"/>
  <c r="N64"/>
  <c r="I64"/>
  <c r="X64" s="1"/>
  <c r="AB63"/>
  <c r="AA63"/>
  <c r="Z63"/>
  <c r="Y63"/>
  <c r="S63"/>
  <c r="N63"/>
  <c r="I63"/>
  <c r="X63" s="1"/>
  <c r="AB62"/>
  <c r="AA62"/>
  <c r="S62"/>
  <c r="O62"/>
  <c r="Z62" s="1"/>
  <c r="N62"/>
  <c r="I62"/>
  <c r="X62" s="1"/>
  <c r="AB61"/>
  <c r="AA61"/>
  <c r="Z61"/>
  <c r="Y61" s="1"/>
  <c r="X61"/>
  <c r="S61"/>
  <c r="N61"/>
  <c r="I61"/>
  <c r="AB60"/>
  <c r="AA60"/>
  <c r="Z60"/>
  <c r="Y60" s="1"/>
  <c r="X60"/>
  <c r="S60"/>
  <c r="N60"/>
  <c r="I60"/>
  <c r="AB59"/>
  <c r="AA59"/>
  <c r="Z59"/>
  <c r="Y59" s="1"/>
  <c r="X59"/>
  <c r="S59"/>
  <c r="N59"/>
  <c r="I59"/>
  <c r="AB58"/>
  <c r="AA58"/>
  <c r="Z58"/>
  <c r="Y58" s="1"/>
  <c r="X58"/>
  <c r="S58"/>
  <c r="N58"/>
  <c r="I58"/>
  <c r="AB57"/>
  <c r="AA57"/>
  <c r="Z57"/>
  <c r="Y57" s="1"/>
  <c r="X57"/>
  <c r="S57"/>
  <c r="N57"/>
  <c r="I57"/>
  <c r="AB56"/>
  <c r="AA56"/>
  <c r="Z56"/>
  <c r="Y56" s="1"/>
  <c r="X56"/>
  <c r="S56"/>
  <c r="N56"/>
  <c r="I56"/>
  <c r="AB55"/>
  <c r="AA55"/>
  <c r="V55"/>
  <c r="U55"/>
  <c r="T55"/>
  <c r="S55"/>
  <c r="Q55"/>
  <c r="P55"/>
  <c r="O55"/>
  <c r="N55"/>
  <c r="L55"/>
  <c r="K55"/>
  <c r="J55"/>
  <c r="I55"/>
  <c r="X55" s="1"/>
  <c r="AB54"/>
  <c r="AA54"/>
  <c r="Z54"/>
  <c r="Y54"/>
  <c r="S54"/>
  <c r="N54"/>
  <c r="I54"/>
  <c r="X54" s="1"/>
  <c r="AB53"/>
  <c r="Z53"/>
  <c r="U53"/>
  <c r="S53" s="1"/>
  <c r="S52" s="1"/>
  <c r="P53"/>
  <c r="N53" s="1"/>
  <c r="N52" s="1"/>
  <c r="I53"/>
  <c r="X53" s="1"/>
  <c r="AB52"/>
  <c r="Z52"/>
  <c r="V52"/>
  <c r="U52"/>
  <c r="T52"/>
  <c r="Q52"/>
  <c r="P52"/>
  <c r="O52"/>
  <c r="L52"/>
  <c r="K52"/>
  <c r="J52"/>
  <c r="I52"/>
  <c r="X52" s="1"/>
  <c r="AB51"/>
  <c r="AA51"/>
  <c r="Z51"/>
  <c r="Y51" s="1"/>
  <c r="S51"/>
  <c r="N51"/>
  <c r="I51"/>
  <c r="X51" s="1"/>
  <c r="AB50"/>
  <c r="AA50"/>
  <c r="Z50"/>
  <c r="Y50" s="1"/>
  <c r="S50"/>
  <c r="N50"/>
  <c r="I50"/>
  <c r="AB49"/>
  <c r="AA49"/>
  <c r="T49"/>
  <c r="S49" s="1"/>
  <c r="O49"/>
  <c r="Z49" s="1"/>
  <c r="Y49" s="1"/>
  <c r="I49"/>
  <c r="X49" s="1"/>
  <c r="AB48"/>
  <c r="Z48"/>
  <c r="U48"/>
  <c r="S48" s="1"/>
  <c r="S33" s="1"/>
  <c r="S30" s="1"/>
  <c r="P48"/>
  <c r="N48" s="1"/>
  <c r="I48"/>
  <c r="X48" s="1"/>
  <c r="AB47"/>
  <c r="AA47"/>
  <c r="Z47"/>
  <c r="Y47"/>
  <c r="S47"/>
  <c r="N47"/>
  <c r="I47"/>
  <c r="X47" s="1"/>
  <c r="AB46"/>
  <c r="AA46"/>
  <c r="Z46"/>
  <c r="Y46"/>
  <c r="S46"/>
  <c r="N46"/>
  <c r="I46"/>
  <c r="AB45"/>
  <c r="Z45"/>
  <c r="Y45" s="1"/>
  <c r="U45"/>
  <c r="S45"/>
  <c r="P45"/>
  <c r="AA45" s="1"/>
  <c r="N45"/>
  <c r="K45"/>
  <c r="I45"/>
  <c r="X45" s="1"/>
  <c r="AB44"/>
  <c r="AA44"/>
  <c r="Z44"/>
  <c r="Y44"/>
  <c r="S44"/>
  <c r="N44"/>
  <c r="K44"/>
  <c r="I44" s="1"/>
  <c r="X44" s="1"/>
  <c r="AB43"/>
  <c r="AA43"/>
  <c r="Z43"/>
  <c r="Y43" s="1"/>
  <c r="X43"/>
  <c r="S43"/>
  <c r="N43"/>
  <c r="I43"/>
  <c r="AB42"/>
  <c r="AA42"/>
  <c r="Z42"/>
  <c r="Y42" s="1"/>
  <c r="S42"/>
  <c r="N42"/>
  <c r="K42"/>
  <c r="I42"/>
  <c r="X42" s="1"/>
  <c r="AB41"/>
  <c r="AA41"/>
  <c r="Z41"/>
  <c r="Y41"/>
  <c r="S41"/>
  <c r="N41"/>
  <c r="K41"/>
  <c r="I41" s="1"/>
  <c r="X41" s="1"/>
  <c r="AB40"/>
  <c r="AA40"/>
  <c r="Z40"/>
  <c r="Y40" s="1"/>
  <c r="S40"/>
  <c r="N40"/>
  <c r="K40"/>
  <c r="I40"/>
  <c r="X40" s="1"/>
  <c r="AB39"/>
  <c r="AA39"/>
  <c r="Z39"/>
  <c r="Y39"/>
  <c r="S39"/>
  <c r="N39"/>
  <c r="K39"/>
  <c r="I39" s="1"/>
  <c r="AB38"/>
  <c r="AA38"/>
  <c r="T38"/>
  <c r="S38"/>
  <c r="O38"/>
  <c r="Z38" s="1"/>
  <c r="N38"/>
  <c r="I38"/>
  <c r="X38" s="1"/>
  <c r="AB37"/>
  <c r="AA37"/>
  <c r="Z37"/>
  <c r="Y37" s="1"/>
  <c r="S37"/>
  <c r="N37"/>
  <c r="I37"/>
  <c r="X37" s="1"/>
  <c r="AB36"/>
  <c r="AA36"/>
  <c r="Z36"/>
  <c r="Y36" s="1"/>
  <c r="S36"/>
  <c r="N36"/>
  <c r="I36"/>
  <c r="X36" s="1"/>
  <c r="AB35"/>
  <c r="AA35"/>
  <c r="Z35"/>
  <c r="Y35" s="1"/>
  <c r="S35"/>
  <c r="N35"/>
  <c r="I35"/>
  <c r="X35" s="1"/>
  <c r="AB34"/>
  <c r="AA34"/>
  <c r="Z34"/>
  <c r="Y34" s="1"/>
  <c r="S34"/>
  <c r="N34"/>
  <c r="J34"/>
  <c r="I34"/>
  <c r="X34" s="1"/>
  <c r="AB33"/>
  <c r="V33"/>
  <c r="U33"/>
  <c r="T33"/>
  <c r="Q33"/>
  <c r="P33"/>
  <c r="O33"/>
  <c r="L33"/>
  <c r="K33"/>
  <c r="J33"/>
  <c r="AB32"/>
  <c r="AA32"/>
  <c r="Z32"/>
  <c r="Y32"/>
  <c r="S32"/>
  <c r="N32"/>
  <c r="I32"/>
  <c r="AD31"/>
  <c r="AB31"/>
  <c r="AA31"/>
  <c r="Z31"/>
  <c r="Y31"/>
  <c r="V31"/>
  <c r="U31"/>
  <c r="T31"/>
  <c r="S31"/>
  <c r="Q31"/>
  <c r="P31"/>
  <c r="O31"/>
  <c r="N31"/>
  <c r="L31"/>
  <c r="K31"/>
  <c r="J31"/>
  <c r="I31"/>
  <c r="W30"/>
  <c r="V30"/>
  <c r="U30"/>
  <c r="T30"/>
  <c r="R30"/>
  <c r="Q30"/>
  <c r="P30"/>
  <c r="O30"/>
  <c r="M30"/>
  <c r="L30"/>
  <c r="K30"/>
  <c r="J30"/>
  <c r="AB29"/>
  <c r="AA29"/>
  <c r="Z29"/>
  <c r="S29"/>
  <c r="N29"/>
  <c r="I29"/>
  <c r="AB28"/>
  <c r="AA28"/>
  <c r="Z28"/>
  <c r="Y28" s="1"/>
  <c r="W28"/>
  <c r="V28"/>
  <c r="U28"/>
  <c r="T28"/>
  <c r="S28"/>
  <c r="R28"/>
  <c r="Q28"/>
  <c r="P28"/>
  <c r="O28"/>
  <c r="N28"/>
  <c r="M28"/>
  <c r="L28"/>
  <c r="K28"/>
  <c r="J28"/>
  <c r="I28"/>
  <c r="X28" s="1"/>
  <c r="AB27"/>
  <c r="AA27"/>
  <c r="Z27"/>
  <c r="Y27" s="1"/>
  <c r="S27"/>
  <c r="N27"/>
  <c r="I27"/>
  <c r="X27" s="1"/>
  <c r="AB26"/>
  <c r="AA26"/>
  <c r="Z26"/>
  <c r="Y26" s="1"/>
  <c r="S26"/>
  <c r="N26"/>
  <c r="I26"/>
  <c r="X26" s="1"/>
  <c r="AB25"/>
  <c r="AA25"/>
  <c r="Z25"/>
  <c r="Y25" s="1"/>
  <c r="S25"/>
  <c r="N25"/>
  <c r="I25"/>
  <c r="X25" s="1"/>
  <c r="AB24"/>
  <c r="AA24"/>
  <c r="Z24"/>
  <c r="Y24" s="1"/>
  <c r="W24"/>
  <c r="V24"/>
  <c r="U24"/>
  <c r="T24"/>
  <c r="S24"/>
  <c r="R24"/>
  <c r="Q24"/>
  <c r="P24"/>
  <c r="O24"/>
  <c r="N24"/>
  <c r="M24"/>
  <c r="L24"/>
  <c r="K24"/>
  <c r="J24"/>
  <c r="I24"/>
  <c r="X24" s="1"/>
  <c r="AB23"/>
  <c r="AA23"/>
  <c r="Z23"/>
  <c r="Y23" s="1"/>
  <c r="S23"/>
  <c r="N23"/>
  <c r="I23"/>
  <c r="AB22"/>
  <c r="AA22"/>
  <c r="Z22"/>
  <c r="Y22"/>
  <c r="S22"/>
  <c r="N22"/>
  <c r="I22"/>
  <c r="AB21"/>
  <c r="AA21"/>
  <c r="Z21"/>
  <c r="Y21" s="1"/>
  <c r="S21"/>
  <c r="N21"/>
  <c r="I21"/>
  <c r="X21" s="1"/>
  <c r="AB20"/>
  <c r="AA20"/>
  <c r="T20"/>
  <c r="S20"/>
  <c r="O20"/>
  <c r="Z20" s="1"/>
  <c r="N20"/>
  <c r="I20"/>
  <c r="X20" s="1"/>
  <c r="AB19"/>
  <c r="AA19"/>
  <c r="Z19"/>
  <c r="Y19" s="1"/>
  <c r="S19"/>
  <c r="N19"/>
  <c r="K19"/>
  <c r="I19"/>
  <c r="X19" s="1"/>
  <c r="AB18"/>
  <c r="Z18"/>
  <c r="S18"/>
  <c r="P18"/>
  <c r="AA18" s="1"/>
  <c r="N18"/>
  <c r="K18"/>
  <c r="I18"/>
  <c r="X18" s="1"/>
  <c r="AB17"/>
  <c r="AA17"/>
  <c r="Z17"/>
  <c r="Y17"/>
  <c r="S17"/>
  <c r="N17"/>
  <c r="K17"/>
  <c r="I17" s="1"/>
  <c r="X17" s="1"/>
  <c r="AB16"/>
  <c r="AA16"/>
  <c r="Z16"/>
  <c r="Y16" s="1"/>
  <c r="T16"/>
  <c r="S16"/>
  <c r="O16"/>
  <c r="N16"/>
  <c r="I16"/>
  <c r="X16" s="1"/>
  <c r="AB15"/>
  <c r="AA15"/>
  <c r="Z15"/>
  <c r="Y15" s="1"/>
  <c r="S15"/>
  <c r="N15"/>
  <c r="I15"/>
  <c r="X15" s="1"/>
  <c r="AB14"/>
  <c r="AA14"/>
  <c r="Z14"/>
  <c r="Y14" s="1"/>
  <c r="S14"/>
  <c r="N14"/>
  <c r="I14"/>
  <c r="X14" s="1"/>
  <c r="AB13"/>
  <c r="AA13"/>
  <c r="Z13"/>
  <c r="Y13"/>
  <c r="S13"/>
  <c r="N13"/>
  <c r="J13"/>
  <c r="I13" s="1"/>
  <c r="AB12"/>
  <c r="W12"/>
  <c r="V12"/>
  <c r="U12"/>
  <c r="T12"/>
  <c r="S12"/>
  <c r="R12"/>
  <c r="Q12"/>
  <c r="P12"/>
  <c r="O12"/>
  <c r="N12"/>
  <c r="L12"/>
  <c r="K12"/>
  <c r="J12"/>
  <c r="L11"/>
  <c r="AB10"/>
  <c r="AA10"/>
  <c r="Z10"/>
  <c r="Y10"/>
  <c r="V10"/>
  <c r="U10"/>
  <c r="T10"/>
  <c r="S10"/>
  <c r="Q10"/>
  <c r="P10"/>
  <c r="O10"/>
  <c r="N10"/>
  <c r="L10"/>
  <c r="K10"/>
  <c r="J10"/>
  <c r="I10"/>
  <c r="AB9"/>
  <c r="AB118" s="1"/>
  <c r="W9"/>
  <c r="V9"/>
  <c r="V118" s="1"/>
  <c r="U9"/>
  <c r="U118" s="1"/>
  <c r="T9"/>
  <c r="T118" s="1"/>
  <c r="S9"/>
  <c r="S118" s="1"/>
  <c r="S120" s="1"/>
  <c r="R9"/>
  <c r="Q9"/>
  <c r="Q118" s="1"/>
  <c r="P9"/>
  <c r="P118" s="1"/>
  <c r="O9"/>
  <c r="O118" s="1"/>
  <c r="N9"/>
  <c r="L9"/>
  <c r="L118" s="1"/>
  <c r="K9"/>
  <c r="K118" s="1"/>
  <c r="J9"/>
  <c r="X13" l="1"/>
  <c r="I12"/>
  <c r="Y20"/>
  <c r="Z12"/>
  <c r="Z9" s="1"/>
  <c r="X39"/>
  <c r="I33"/>
  <c r="Y62"/>
  <c r="Z55"/>
  <c r="X69"/>
  <c r="I68"/>
  <c r="X68" s="1"/>
  <c r="X74"/>
  <c r="I73"/>
  <c r="X103"/>
  <c r="I102"/>
  <c r="Y111"/>
  <c r="Z102"/>
  <c r="Y55"/>
  <c r="Y77"/>
  <c r="Y95"/>
  <c r="Y94" s="1"/>
  <c r="Y97"/>
  <c r="Y18"/>
  <c r="Y12" s="1"/>
  <c r="Y9" s="1"/>
  <c r="AA12"/>
  <c r="AA9" s="1"/>
  <c r="Y38"/>
  <c r="Y33" s="1"/>
  <c r="Z33"/>
  <c r="X97"/>
  <c r="I95"/>
  <c r="AA73"/>
  <c r="AA72" s="1"/>
  <c r="Y109"/>
  <c r="Y102" s="1"/>
  <c r="AA48"/>
  <c r="Y48" s="1"/>
  <c r="AA53"/>
  <c r="Z78"/>
  <c r="Z114"/>
  <c r="N49"/>
  <c r="N33" s="1"/>
  <c r="N30" s="1"/>
  <c r="N118" s="1"/>
  <c r="N120" s="1"/>
  <c r="Z70"/>
  <c r="N77"/>
  <c r="N73" s="1"/>
  <c r="N72" s="1"/>
  <c r="Z91"/>
  <c r="N97"/>
  <c r="N95" s="1"/>
  <c r="N94" s="1"/>
  <c r="J102"/>
  <c r="J101" s="1"/>
  <c r="J118" s="1"/>
  <c r="N109"/>
  <c r="N102" s="1"/>
  <c r="N101" s="1"/>
  <c r="Y78" l="1"/>
  <c r="Y73" s="1"/>
  <c r="Y72" s="1"/>
  <c r="Z73"/>
  <c r="Z72" s="1"/>
  <c r="X95"/>
  <c r="I94"/>
  <c r="AA33"/>
  <c r="Z30"/>
  <c r="Y114"/>
  <c r="Y113" s="1"/>
  <c r="Y101" s="1"/>
  <c r="Z113"/>
  <c r="Y53"/>
  <c r="Y52" s="1"/>
  <c r="Y30" s="1"/>
  <c r="Y118" s="1"/>
  <c r="Y120" s="1"/>
  <c r="AA52"/>
  <c r="X102"/>
  <c r="I101"/>
  <c r="I72"/>
  <c r="X73"/>
  <c r="X33"/>
  <c r="X30" s="1"/>
  <c r="I30"/>
  <c r="AC30" s="1"/>
  <c r="I9"/>
  <c r="X12"/>
  <c r="Z101"/>
  <c r="Z118"/>
  <c r="X9" l="1"/>
  <c r="I118"/>
  <c r="AC118" s="1"/>
  <c r="AC9"/>
  <c r="AC72"/>
  <c r="X72"/>
  <c r="AC94"/>
  <c r="X94"/>
  <c r="AC101"/>
  <c r="X101"/>
  <c r="AA30"/>
  <c r="AA118" s="1"/>
</calcChain>
</file>

<file path=xl/sharedStrings.xml><?xml version="1.0" encoding="utf-8"?>
<sst xmlns="http://schemas.openxmlformats.org/spreadsheetml/2006/main" count="404" uniqueCount="153">
  <si>
    <t>Приложение 1</t>
  </si>
  <si>
    <t>ОТЧЕТ</t>
  </si>
  <si>
    <t>О ВЫПОЛНЕНИИ МЕРОПРИЯТИЙ МУНИЦИПАЛЬНОЙ ПРОГРАММЫ на  2019 года</t>
  </si>
  <si>
    <t>Социально-экономический эффект</t>
  </si>
  <si>
    <t xml:space="preserve">Ответственный исполнитель </t>
  </si>
  <si>
    <t>Коды бюджетной классификации</t>
  </si>
  <si>
    <t>Подпрограммы программы, мероприятий муниципальной программы, мероприятий, реализуемых в рамках основного мероприятия</t>
  </si>
  <si>
    <r>
      <t>Утвержденный план на 01.01.2019г.</t>
    </r>
    <r>
      <rPr>
        <b/>
        <sz val="9"/>
        <rFont val="Times New Roman"/>
        <family val="1"/>
        <charset val="204"/>
      </rPr>
      <t xml:space="preserve"> (на 2019г.)</t>
    </r>
  </si>
  <si>
    <t>Внебюджетные источноки</t>
  </si>
  <si>
    <r>
      <t>Уточненый план на 31.12.2019г.</t>
    </r>
    <r>
      <rPr>
        <b/>
        <sz val="9"/>
        <rFont val="Times New Roman"/>
        <family val="1"/>
        <charset val="204"/>
      </rPr>
      <t xml:space="preserve"> </t>
    </r>
  </si>
  <si>
    <t>расходы бюджета на 31.12.2019</t>
  </si>
  <si>
    <t>Уровень исп.заплан-го объема фин-я</t>
  </si>
  <si>
    <t>остаток на 31.12.2019г</t>
  </si>
  <si>
    <t>раздел, подраздел</t>
  </si>
  <si>
    <t>целевая статья</t>
  </si>
  <si>
    <t>вид расходов</t>
  </si>
  <si>
    <t>Всего по программе:</t>
  </si>
  <si>
    <t>МБ</t>
  </si>
  <si>
    <t>РБ</t>
  </si>
  <si>
    <t>ФБ</t>
  </si>
  <si>
    <t>«Развитие дошкольного образования»</t>
  </si>
  <si>
    <t>0701</t>
  </si>
  <si>
    <t>0000000</t>
  </si>
  <si>
    <t>000</t>
  </si>
  <si>
    <t>1.1</t>
  </si>
  <si>
    <t xml:space="preserve">Создание 50 дополнитель-ных мест, в том числе:
- строительство новых ОУ - (50 мест),
 - через альтернативные  формы (20 мест):
- предшкола - 10 мест. </t>
  </si>
  <si>
    <t>Задача№1  Индекс 1,2,4,5,7</t>
  </si>
  <si>
    <t>РУО</t>
  </si>
  <si>
    <t>1.2</t>
  </si>
  <si>
    <t xml:space="preserve">На  оказание услуг по реализации общеобразовательных программ дошкольного образования </t>
  </si>
  <si>
    <t>Задача № 1</t>
  </si>
  <si>
    <t>0710210100</t>
  </si>
  <si>
    <t>0710210101</t>
  </si>
  <si>
    <t>0710210102</t>
  </si>
  <si>
    <t>0710210700</t>
  </si>
  <si>
    <t>07102S2160</t>
  </si>
  <si>
    <t>0710272А30</t>
  </si>
  <si>
    <t>0710273020</t>
  </si>
  <si>
    <t>07102S2B60</t>
  </si>
  <si>
    <t>0710273180</t>
  </si>
  <si>
    <t>0710272Б90</t>
  </si>
  <si>
    <t>0710286010</t>
  </si>
  <si>
    <t>1.3</t>
  </si>
  <si>
    <t>Мероприятия,  направленные на повышение  надежности и увеличение сроков эксплуата-ции строений в целях безопас-ности  (разработка ПСД , ремонт и обследование зданий учреждений дошкольного образования)</t>
  </si>
  <si>
    <t>0710310100</t>
  </si>
  <si>
    <t>07103S2980</t>
  </si>
  <si>
    <t>0710355050</t>
  </si>
  <si>
    <t>1.4</t>
  </si>
  <si>
    <t>Мероприятия, направленные на поддержку и сопровождение одаренных детей дошкольного образования</t>
  </si>
  <si>
    <t>0710410100</t>
  </si>
  <si>
    <t>2</t>
  </si>
  <si>
    <t>«Развитие общего образования»</t>
  </si>
  <si>
    <t>0702</t>
  </si>
  <si>
    <t>Ремонт зданий общеобразовательных учреждений   
Развитие профильных классов на базе МОУ на 3 (старшей) ступени обучения. Приобретение новейших  средств обучения (предметные  кабинеты по физике, химии, биологии).</t>
  </si>
  <si>
    <t xml:space="preserve">Задача № 1
Индекс 1,2,3
</t>
  </si>
  <si>
    <t>На  оказание услуг по реализации общеобразовательных программ общего образования</t>
  </si>
  <si>
    <t>0720210200</t>
  </si>
  <si>
    <t>0720210201</t>
  </si>
  <si>
    <t>0720210202</t>
  </si>
  <si>
    <t>0720210203</t>
  </si>
  <si>
    <t>0720210700</t>
  </si>
  <si>
    <t>07202S2160</t>
  </si>
  <si>
    <t>0720272А30</t>
  </si>
  <si>
    <t>0720273020</t>
  </si>
  <si>
    <t>0720273030</t>
  </si>
  <si>
    <t>0720273180</t>
  </si>
  <si>
    <t>0720273040</t>
  </si>
  <si>
    <t>07202S2A50</t>
  </si>
  <si>
    <t>07202S2890</t>
  </si>
  <si>
    <t>0720282830</t>
  </si>
  <si>
    <t>07202S2В40</t>
  </si>
  <si>
    <t>07202S2В60</t>
  </si>
  <si>
    <t>0720272Б90</t>
  </si>
  <si>
    <t>0720286010</t>
  </si>
  <si>
    <t>Мероприятия  по организации горячего питания детей обучающихся в общеобразовательных учреждениях</t>
  </si>
  <si>
    <t>Задача № 1 Индекс 1,2,3</t>
  </si>
  <si>
    <t>07203S2130</t>
  </si>
  <si>
    <t>07203S2135</t>
  </si>
  <si>
    <t>Мероприятия, направленные на развитие общественной инфраструкуры (капитальный ремонт, реконструкция, строительство объектов образования) и на обеспечение модернизации технического перевооружения (приобретение современного технологического оборудования, оснащение и установка видеонаблюдения) в учреждений общешо образования</t>
  </si>
  <si>
    <t>0720486010</t>
  </si>
  <si>
    <t>07204S2140</t>
  </si>
  <si>
    <t>0720455050</t>
  </si>
  <si>
    <t>07204L5150</t>
  </si>
  <si>
    <t>07204L0970</t>
  </si>
  <si>
    <t>0720410201</t>
  </si>
  <si>
    <t>0720410202</t>
  </si>
  <si>
    <t>0720410203</t>
  </si>
  <si>
    <t>07204S2590</t>
  </si>
  <si>
    <t>07204S2980</t>
  </si>
  <si>
    <t>0720410200</t>
  </si>
  <si>
    <t>07204S2595</t>
  </si>
  <si>
    <t>1.5</t>
  </si>
  <si>
    <t xml:space="preserve">Мероприятия, направленные на поддержку и сопровождение одаренных детей </t>
  </si>
  <si>
    <t>0720510200</t>
  </si>
  <si>
    <t>1.6</t>
  </si>
  <si>
    <t>Мероприятия, направленные на благоустройство территорий, прилегающих к местам туристического показа</t>
  </si>
  <si>
    <t>0720672610</t>
  </si>
  <si>
    <t>3</t>
  </si>
  <si>
    <t>«Развитие дополнительного образования»</t>
  </si>
  <si>
    <t>0703</t>
  </si>
  <si>
    <t>На оказание услуг по реализации общеобразо-вательных программ  дополнительного образования</t>
  </si>
  <si>
    <t>07301S2160</t>
  </si>
  <si>
    <t>0730110300</t>
  </si>
  <si>
    <t>0730110700</t>
  </si>
  <si>
    <t>0730172A30</t>
  </si>
  <si>
    <t>07301S2B60</t>
  </si>
  <si>
    <t>07301S2120</t>
  </si>
  <si>
    <t>0730173180</t>
  </si>
  <si>
    <t>Мероприятия, направленные на поддержку и сопровождение одаренных детей и талантливой молодежи через систему конкурсных мероприятий и на содержание инструкторов по физической культуре и спорту</t>
  </si>
  <si>
    <t>0730310300</t>
  </si>
  <si>
    <t>0730210300</t>
  </si>
  <si>
    <t>0730286010</t>
  </si>
  <si>
    <t>07302S2200</t>
  </si>
  <si>
    <t>Мероприятия, направленные на повышение надежности и увеличение сроков эксплуатации строений в целях безопасности (разработка проектно - сметной документации и обследование зданий )</t>
  </si>
  <si>
    <t>07303S2140</t>
  </si>
  <si>
    <t>Мероприятия, напрвленные на содержание инструкторов по физической культуре и спорту</t>
  </si>
  <si>
    <t>07302S2205</t>
  </si>
  <si>
    <t>«Организация отдыха и оздоровления детей в Окинском  районе»</t>
  </si>
  <si>
    <t>0707</t>
  </si>
  <si>
    <t>На  оказание услуг по организации отдыха детей и оздоровление детей</t>
  </si>
  <si>
    <t>0740110400</t>
  </si>
  <si>
    <t>0740173050</t>
  </si>
  <si>
    <t>0740173140</t>
  </si>
  <si>
    <t>0740173190</t>
  </si>
  <si>
    <t>«Другие вопросы в области образования».</t>
  </si>
  <si>
    <t>0709</t>
  </si>
  <si>
    <t>Информационное, учебно методическое, образовательное, юридическое сопровождение и бухгалтерское обслуживание, ведение бюджетного учета и других вопросов финансовой деятельности образовательных учреждений</t>
  </si>
  <si>
    <t>0750120100</t>
  </si>
  <si>
    <t>0750172160</t>
  </si>
  <si>
    <t>0750155500</t>
  </si>
  <si>
    <t>0750173060</t>
  </si>
  <si>
    <t>0750170100</t>
  </si>
  <si>
    <t>0750172Б90</t>
  </si>
  <si>
    <t>0750172A30</t>
  </si>
  <si>
    <t>0750186020</t>
  </si>
  <si>
    <t>07501S2B60</t>
  </si>
  <si>
    <t>0750181020</t>
  </si>
  <si>
    <t>Стимулирование педагогов к повышению качества работы и непрерывному профессиональному развитию через организацию конкурсов профмастерства, участие в курсах, конференциях.</t>
  </si>
  <si>
    <t>0750220100</t>
  </si>
  <si>
    <t>226</t>
  </si>
  <si>
    <t>Мероприятия направленные на строительство объектов образования</t>
  </si>
  <si>
    <t>1102</t>
  </si>
  <si>
    <t>0750355050</t>
  </si>
  <si>
    <t>414</t>
  </si>
  <si>
    <t>0750320101</t>
  </si>
  <si>
    <t>244</t>
  </si>
  <si>
    <t>Начальник управления образования</t>
  </si>
  <si>
    <t>администрации МО "Окинский район"</t>
  </si>
  <si>
    <t>Цыбденов Б.Б.</t>
  </si>
  <si>
    <t>Главный бухгалтер</t>
  </si>
  <si>
    <t>Мандагаева В.Ж.</t>
  </si>
  <si>
    <t>Исп.Дамдинова Д.Д.</t>
  </si>
  <si>
    <t>14.01.2020г.</t>
  </si>
</sst>
</file>

<file path=xl/styles.xml><?xml version="1.0" encoding="utf-8"?>
<styleSheet xmlns="http://schemas.openxmlformats.org/spreadsheetml/2006/main">
  <numFmts count="9">
    <numFmt numFmtId="41" formatCode="_-* #,##0_р_._-;\-* #,##0_р_._-;_-* &quot;-&quot;_р_._-;_-@_-"/>
    <numFmt numFmtId="43" formatCode="_-* #,##0.00_р_._-;\-* #,##0.00_р_._-;_-* &quot;-&quot;??_р_._-;_-@_-"/>
    <numFmt numFmtId="164" formatCode="#,##0.00000"/>
    <numFmt numFmtId="165" formatCode="#,##0.000"/>
    <numFmt numFmtId="166" formatCode="#,##0.0000"/>
    <numFmt numFmtId="167" formatCode="#,##0.0"/>
    <numFmt numFmtId="168" formatCode="0.000"/>
    <numFmt numFmtId="169" formatCode="#,##0.000000"/>
    <numFmt numFmtId="170" formatCode="000000"/>
  </numFmts>
  <fonts count="19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7"/>
      <name val="Arial Cyr"/>
      <charset val="204"/>
    </font>
    <font>
      <sz val="7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Arial Cyr"/>
    </font>
  </fonts>
  <fills count="8">
    <fill>
      <patternFill patternType="none"/>
    </fill>
    <fill>
      <patternFill patternType="gray125"/>
    </fill>
    <fill>
      <patternFill patternType="solid">
        <fgColor rgb="FFFFBDFF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BDFFBD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5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8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4" fontId="2" fillId="0" borderId="0" xfId="1" applyNumberFormat="1" applyFont="1"/>
    <xf numFmtId="0" fontId="4" fillId="0" borderId="0" xfId="1" applyFont="1" applyAlignment="1">
      <alignment horizontal="center" vertical="center"/>
    </xf>
    <xf numFmtId="4" fontId="6" fillId="0" borderId="0" xfId="2" applyNumberFormat="1" applyFont="1" applyBorder="1" applyAlignment="1"/>
    <xf numFmtId="0" fontId="4" fillId="0" borderId="0" xfId="1" applyFont="1" applyAlignment="1">
      <alignment horizontal="center"/>
    </xf>
    <xf numFmtId="164" fontId="6" fillId="0" borderId="0" xfId="2" applyNumberFormat="1" applyFont="1" applyBorder="1" applyAlignment="1"/>
    <xf numFmtId="164" fontId="7" fillId="0" borderId="0" xfId="1" applyNumberFormat="1" applyFont="1"/>
    <xf numFmtId="165" fontId="2" fillId="0" borderId="0" xfId="1" applyNumberFormat="1" applyFont="1"/>
    <xf numFmtId="0" fontId="8" fillId="0" borderId="0" xfId="1" applyFont="1"/>
    <xf numFmtId="165" fontId="7" fillId="0" borderId="0" xfId="1" applyNumberFormat="1" applyFont="1"/>
    <xf numFmtId="166" fontId="2" fillId="0" borderId="0" xfId="1" applyNumberFormat="1" applyFont="1"/>
    <xf numFmtId="164" fontId="9" fillId="0" borderId="0" xfId="1" applyNumberFormat="1" applyFont="1"/>
    <xf numFmtId="166" fontId="9" fillId="0" borderId="0" xfId="1" applyNumberFormat="1" applyFont="1"/>
    <xf numFmtId="0" fontId="9" fillId="0" borderId="0" xfId="1" applyFont="1"/>
    <xf numFmtId="166" fontId="7" fillId="0" borderId="0" xfId="1" applyNumberFormat="1" applyFont="1"/>
    <xf numFmtId="0" fontId="2" fillId="0" borderId="1" xfId="1" applyFont="1" applyBorder="1"/>
    <xf numFmtId="0" fontId="3" fillId="0" borderId="2" xfId="1" applyFont="1" applyBorder="1"/>
    <xf numFmtId="0" fontId="8" fillId="0" borderId="2" xfId="1" applyFont="1" applyBorder="1"/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0" fontId="2" fillId="0" borderId="5" xfId="1" applyFont="1" applyBorder="1"/>
    <xf numFmtId="165" fontId="2" fillId="0" borderId="5" xfId="1" applyNumberFormat="1" applyFont="1" applyBorder="1"/>
    <xf numFmtId="0" fontId="2" fillId="0" borderId="6" xfId="1" applyFont="1" applyBorder="1"/>
    <xf numFmtId="4" fontId="2" fillId="0" borderId="0" xfId="1" applyNumberFormat="1" applyFont="1" applyBorder="1"/>
    <xf numFmtId="0" fontId="2" fillId="0" borderId="7" xfId="1" applyFont="1" applyBorder="1"/>
    <xf numFmtId="0" fontId="3" fillId="0" borderId="8" xfId="1" applyFont="1" applyBorder="1"/>
    <xf numFmtId="0" fontId="12" fillId="0" borderId="9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wrapText="1"/>
    </xf>
    <xf numFmtId="0" fontId="3" fillId="0" borderId="10" xfId="1" applyFont="1" applyBorder="1" applyAlignment="1">
      <alignment horizontal="center" wrapText="1"/>
    </xf>
    <xf numFmtId="0" fontId="3" fillId="0" borderId="11" xfId="1" applyFont="1" applyBorder="1" applyAlignment="1">
      <alignment horizontal="center" wrapText="1"/>
    </xf>
    <xf numFmtId="0" fontId="3" fillId="0" borderId="12" xfId="1" applyFont="1" applyBorder="1" applyAlignment="1">
      <alignment horizont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0" fontId="3" fillId="0" borderId="7" xfId="1" applyFont="1" applyBorder="1"/>
    <xf numFmtId="0" fontId="12" fillId="0" borderId="8" xfId="1" applyFont="1" applyBorder="1" applyAlignment="1">
      <alignment vertical="center"/>
    </xf>
    <xf numFmtId="0" fontId="10" fillId="0" borderId="8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3" borderId="7" xfId="1" applyFont="1" applyFill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4" borderId="7" xfId="1" applyFont="1" applyFill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wrapText="1"/>
    </xf>
    <xf numFmtId="0" fontId="10" fillId="5" borderId="7" xfId="1" applyFont="1" applyFill="1" applyBorder="1" applyAlignment="1">
      <alignment vertical="center" wrapText="1"/>
    </xf>
    <xf numFmtId="4" fontId="10" fillId="0" borderId="7" xfId="1" applyNumberFormat="1" applyFont="1" applyBorder="1" applyAlignment="1">
      <alignment horizontal="center" vertical="center" wrapText="1"/>
    </xf>
    <xf numFmtId="0" fontId="3" fillId="0" borderId="18" xfId="1" applyFont="1" applyBorder="1"/>
    <xf numFmtId="0" fontId="12" fillId="0" borderId="18" xfId="1" applyFont="1" applyBorder="1" applyAlignment="1">
      <alignment vertical="center"/>
    </xf>
    <xf numFmtId="0" fontId="10" fillId="0" borderId="18" xfId="1" applyFont="1" applyBorder="1" applyAlignment="1">
      <alignment horizontal="center" vertical="center" wrapText="1"/>
    </xf>
    <xf numFmtId="0" fontId="10" fillId="3" borderId="18" xfId="1" applyFont="1" applyFill="1" applyBorder="1" applyAlignment="1">
      <alignment horizontal="center" vertical="center" wrapText="1"/>
    </xf>
    <xf numFmtId="0" fontId="10" fillId="4" borderId="18" xfId="1" applyFont="1" applyFill="1" applyBorder="1" applyAlignment="1">
      <alignment horizontal="center" vertical="center" wrapText="1"/>
    </xf>
    <xf numFmtId="0" fontId="10" fillId="5" borderId="18" xfId="1" applyFont="1" applyFill="1" applyBorder="1" applyAlignment="1">
      <alignment horizontal="center" vertical="center" wrapText="1"/>
    </xf>
    <xf numFmtId="4" fontId="10" fillId="0" borderId="18" xfId="1" applyNumberFormat="1" applyFont="1" applyBorder="1" applyAlignment="1">
      <alignment horizontal="center" vertical="center" wrapText="1"/>
    </xf>
    <xf numFmtId="0" fontId="3" fillId="0" borderId="17" xfId="1" applyFont="1" applyBorder="1"/>
    <xf numFmtId="0" fontId="12" fillId="2" borderId="11" xfId="1" applyFont="1" applyFill="1" applyBorder="1" applyAlignment="1">
      <alignment vertical="center"/>
    </xf>
    <xf numFmtId="0" fontId="12" fillId="2" borderId="10" xfId="1" applyFont="1" applyFill="1" applyBorder="1"/>
    <xf numFmtId="49" fontId="12" fillId="2" borderId="10" xfId="1" applyNumberFormat="1" applyFont="1" applyFill="1" applyBorder="1" applyAlignment="1">
      <alignment horizontal="center" wrapText="1"/>
    </xf>
    <xf numFmtId="165" fontId="12" fillId="2" borderId="10" xfId="1" applyNumberFormat="1" applyFont="1" applyFill="1" applyBorder="1"/>
    <xf numFmtId="1" fontId="10" fillId="2" borderId="18" xfId="1" applyNumberFormat="1" applyFont="1" applyFill="1" applyBorder="1"/>
    <xf numFmtId="4" fontId="12" fillId="2" borderId="10" xfId="1" applyNumberFormat="1" applyFont="1" applyFill="1" applyBorder="1"/>
    <xf numFmtId="0" fontId="3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49" fontId="12" fillId="6" borderId="10" xfId="1" applyNumberFormat="1" applyFont="1" applyFill="1" applyBorder="1" applyAlignment="1">
      <alignment horizontal="center" wrapText="1"/>
    </xf>
    <xf numFmtId="165" fontId="12" fillId="3" borderId="10" xfId="1" applyNumberFormat="1" applyFont="1" applyFill="1" applyBorder="1" applyAlignment="1">
      <alignment wrapText="1"/>
    </xf>
    <xf numFmtId="165" fontId="12" fillId="6" borderId="10" xfId="1" applyNumberFormat="1" applyFont="1" applyFill="1" applyBorder="1" applyAlignment="1">
      <alignment wrapText="1"/>
    </xf>
    <xf numFmtId="165" fontId="12" fillId="4" borderId="10" xfId="1" applyNumberFormat="1" applyFont="1" applyFill="1" applyBorder="1" applyAlignment="1">
      <alignment wrapText="1"/>
    </xf>
    <xf numFmtId="1" fontId="12" fillId="6" borderId="18" xfId="1" applyNumberFormat="1" applyFont="1" applyFill="1" applyBorder="1"/>
    <xf numFmtId="165" fontId="12" fillId="5" borderId="10" xfId="1" applyNumberFormat="1" applyFont="1" applyFill="1" applyBorder="1" applyAlignment="1">
      <alignment wrapText="1"/>
    </xf>
    <xf numFmtId="4" fontId="12" fillId="6" borderId="10" xfId="1" applyNumberFormat="1" applyFont="1" applyFill="1" applyBorder="1" applyAlignment="1">
      <alignment wrapText="1"/>
    </xf>
    <xf numFmtId="0" fontId="3" fillId="0" borderId="7" xfId="1" applyFont="1" applyBorder="1" applyAlignment="1">
      <alignment horizontal="center"/>
    </xf>
    <xf numFmtId="49" fontId="11" fillId="0" borderId="17" xfId="1" applyNumberFormat="1" applyFont="1" applyBorder="1" applyAlignment="1">
      <alignment horizontal="center" vertical="center"/>
    </xf>
    <xf numFmtId="0" fontId="11" fillId="0" borderId="17" xfId="1" applyFont="1" applyBorder="1" applyAlignment="1">
      <alignment horizontal="left" vertical="center" wrapText="1"/>
    </xf>
    <xf numFmtId="0" fontId="11" fillId="0" borderId="17" xfId="1" applyFont="1" applyBorder="1" applyAlignment="1">
      <alignment horizontal="center" vertical="center" wrapText="1"/>
    </xf>
    <xf numFmtId="49" fontId="10" fillId="0" borderId="10" xfId="1" applyNumberFormat="1" applyFont="1" applyBorder="1" applyAlignment="1">
      <alignment horizontal="center" wrapText="1"/>
    </xf>
    <xf numFmtId="49" fontId="11" fillId="0" borderId="13" xfId="1" applyNumberFormat="1" applyFont="1" applyBorder="1" applyAlignment="1">
      <alignment horizontal="center" wrapText="1"/>
    </xf>
    <xf numFmtId="165" fontId="3" fillId="3" borderId="18" xfId="1" applyNumberFormat="1" applyFont="1" applyFill="1" applyBorder="1" applyAlignment="1">
      <alignment horizontal="right"/>
    </xf>
    <xf numFmtId="165" fontId="3" fillId="0" borderId="18" xfId="1" applyNumberFormat="1" applyFont="1" applyBorder="1" applyAlignment="1">
      <alignment horizontal="right" wrapText="1"/>
    </xf>
    <xf numFmtId="165" fontId="3" fillId="4" borderId="18" xfId="1" applyNumberFormat="1" applyFont="1" applyFill="1" applyBorder="1" applyAlignment="1">
      <alignment horizontal="right"/>
    </xf>
    <xf numFmtId="165" fontId="10" fillId="0" borderId="10" xfId="1" applyNumberFormat="1" applyFont="1" applyBorder="1" applyAlignment="1">
      <alignment wrapText="1"/>
    </xf>
    <xf numFmtId="165" fontId="10" fillId="0" borderId="18" xfId="1" applyNumberFormat="1" applyFont="1" applyBorder="1" applyAlignment="1">
      <alignment wrapText="1"/>
    </xf>
    <xf numFmtId="1" fontId="10" fillId="0" borderId="18" xfId="1" applyNumberFormat="1" applyFont="1" applyBorder="1"/>
    <xf numFmtId="165" fontId="3" fillId="5" borderId="18" xfId="1" applyNumberFormat="1" applyFont="1" applyFill="1" applyBorder="1" applyAlignment="1">
      <alignment horizontal="right"/>
    </xf>
    <xf numFmtId="4" fontId="3" fillId="0" borderId="18" xfId="1" applyNumberFormat="1" applyFont="1" applyBorder="1" applyAlignment="1">
      <alignment horizontal="right" wrapText="1"/>
    </xf>
    <xf numFmtId="0" fontId="11" fillId="0" borderId="1" xfId="1" applyFont="1" applyBorder="1" applyAlignment="1">
      <alignment vertical="center" wrapText="1"/>
    </xf>
    <xf numFmtId="49" fontId="11" fillId="0" borderId="7" xfId="1" applyNumberFormat="1" applyFont="1" applyBorder="1" applyAlignment="1">
      <alignment horizontal="center" vertical="center"/>
    </xf>
    <xf numFmtId="0" fontId="11" fillId="0" borderId="7" xfId="1" applyFont="1" applyBorder="1" applyAlignment="1">
      <alignment vertical="center" wrapText="1"/>
    </xf>
    <xf numFmtId="0" fontId="11" fillId="0" borderId="7" xfId="1" applyFont="1" applyBorder="1" applyAlignment="1">
      <alignment horizontal="center" vertical="center" wrapText="1"/>
    </xf>
    <xf numFmtId="165" fontId="12" fillId="3" borderId="18" xfId="1" applyNumberFormat="1" applyFont="1" applyFill="1" applyBorder="1" applyAlignment="1"/>
    <xf numFmtId="165" fontId="12" fillId="4" borderId="18" xfId="1" applyNumberFormat="1" applyFont="1" applyFill="1" applyBorder="1" applyAlignment="1"/>
    <xf numFmtId="167" fontId="10" fillId="0" borderId="18" xfId="1" applyNumberFormat="1" applyFont="1" applyBorder="1" applyAlignment="1">
      <alignment wrapText="1"/>
    </xf>
    <xf numFmtId="165" fontId="12" fillId="5" borderId="18" xfId="1" applyNumberFormat="1" applyFont="1" applyFill="1" applyBorder="1" applyAlignment="1"/>
    <xf numFmtId="4" fontId="10" fillId="0" borderId="10" xfId="1" applyNumberFormat="1" applyFont="1" applyBorder="1" applyAlignment="1">
      <alignment wrapText="1"/>
    </xf>
    <xf numFmtId="165" fontId="10" fillId="0" borderId="18" xfId="1" applyNumberFormat="1" applyFont="1" applyBorder="1" applyAlignment="1"/>
    <xf numFmtId="0" fontId="11" fillId="0" borderId="17" xfId="1" applyFont="1" applyBorder="1" applyAlignment="1">
      <alignment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left" vertical="center" wrapText="1"/>
    </xf>
    <xf numFmtId="49" fontId="10" fillId="0" borderId="13" xfId="1" applyNumberFormat="1" applyFont="1" applyBorder="1" applyAlignment="1">
      <alignment horizontal="center" wrapText="1"/>
    </xf>
    <xf numFmtId="165" fontId="10" fillId="0" borderId="18" xfId="1" applyNumberFormat="1" applyFont="1" applyFill="1" applyBorder="1" applyAlignment="1">
      <alignment horizontal="right" wrapText="1"/>
    </xf>
    <xf numFmtId="165" fontId="10" fillId="0" borderId="18" xfId="1" applyNumberFormat="1" applyFont="1" applyBorder="1" applyAlignment="1">
      <alignment horizontal="right" wrapText="1"/>
    </xf>
    <xf numFmtId="0" fontId="11" fillId="0" borderId="13" xfId="1" applyFont="1" applyBorder="1" applyAlignment="1">
      <alignment horizontal="center" vertical="center" wrapText="1"/>
    </xf>
    <xf numFmtId="0" fontId="11" fillId="0" borderId="13" xfId="1" applyFont="1" applyBorder="1" applyAlignment="1">
      <alignment vertical="center" wrapText="1"/>
    </xf>
    <xf numFmtId="0" fontId="3" fillId="0" borderId="17" xfId="1" applyFont="1" applyBorder="1" applyAlignment="1">
      <alignment horizontal="center"/>
    </xf>
    <xf numFmtId="0" fontId="11" fillId="0" borderId="10" xfId="1" applyFont="1" applyBorder="1" applyAlignment="1">
      <alignment vertical="center" wrapText="1"/>
    </xf>
    <xf numFmtId="49" fontId="11" fillId="0" borderId="10" xfId="1" applyNumberFormat="1" applyFont="1" applyBorder="1" applyAlignment="1">
      <alignment horizontal="center" wrapText="1"/>
    </xf>
    <xf numFmtId="165" fontId="10" fillId="0" borderId="10" xfId="1" applyNumberFormat="1" applyFont="1" applyBorder="1" applyAlignment="1">
      <alignment horizontal="right" wrapText="1"/>
    </xf>
    <xf numFmtId="165" fontId="3" fillId="0" borderId="10" xfId="1" applyNumberFormat="1" applyFont="1" applyBorder="1" applyAlignment="1">
      <alignment horizontal="right" wrapText="1"/>
    </xf>
    <xf numFmtId="165" fontId="12" fillId="5" borderId="10" xfId="1" applyNumberFormat="1" applyFont="1" applyFill="1" applyBorder="1" applyAlignment="1"/>
    <xf numFmtId="0" fontId="3" fillId="2" borderId="18" xfId="1" applyFont="1" applyFill="1" applyBorder="1"/>
    <xf numFmtId="49" fontId="11" fillId="2" borderId="13" xfId="1" applyNumberFormat="1" applyFont="1" applyFill="1" applyBorder="1" applyAlignment="1">
      <alignment horizontal="center" vertical="center"/>
    </xf>
    <xf numFmtId="0" fontId="12" fillId="2" borderId="13" xfId="1" applyFont="1" applyFill="1" applyBorder="1"/>
    <xf numFmtId="3" fontId="12" fillId="2" borderId="10" xfId="1" applyNumberFormat="1" applyFont="1" applyFill="1" applyBorder="1"/>
    <xf numFmtId="49" fontId="12" fillId="6" borderId="13" xfId="1" applyNumberFormat="1" applyFont="1" applyFill="1" applyBorder="1" applyAlignment="1">
      <alignment horizontal="center" wrapText="1"/>
    </xf>
    <xf numFmtId="165" fontId="12" fillId="3" borderId="10" xfId="1" applyNumberFormat="1" applyFont="1" applyFill="1" applyBorder="1" applyAlignment="1">
      <alignment horizontal="right" wrapText="1"/>
    </xf>
    <xf numFmtId="165" fontId="12" fillId="6" borderId="10" xfId="1" applyNumberFormat="1" applyFont="1" applyFill="1" applyBorder="1" applyAlignment="1">
      <alignment horizontal="right" wrapText="1"/>
    </xf>
    <xf numFmtId="165" fontId="12" fillId="4" borderId="10" xfId="1" applyNumberFormat="1" applyFont="1" applyFill="1" applyBorder="1" applyAlignment="1">
      <alignment horizontal="right" wrapText="1"/>
    </xf>
    <xf numFmtId="165" fontId="12" fillId="5" borderId="10" xfId="1" applyNumberFormat="1" applyFont="1" applyFill="1" applyBorder="1" applyAlignment="1">
      <alignment horizontal="right" wrapText="1"/>
    </xf>
    <xf numFmtId="4" fontId="12" fillId="6" borderId="10" xfId="1" applyNumberFormat="1" applyFont="1" applyFill="1" applyBorder="1" applyAlignment="1">
      <alignment horizontal="right" wrapText="1"/>
    </xf>
    <xf numFmtId="49" fontId="13" fillId="6" borderId="13" xfId="1" applyNumberFormat="1" applyFont="1" applyFill="1" applyBorder="1" applyAlignment="1">
      <alignment horizontal="center" wrapText="1"/>
    </xf>
    <xf numFmtId="165" fontId="14" fillId="0" borderId="18" xfId="1" applyNumberFormat="1" applyFont="1" applyBorder="1" applyAlignment="1">
      <alignment horizontal="right" wrapText="1"/>
    </xf>
    <xf numFmtId="165" fontId="15" fillId="4" borderId="18" xfId="1" applyNumberFormat="1" applyFont="1" applyFill="1" applyBorder="1" applyAlignment="1"/>
    <xf numFmtId="165" fontId="10" fillId="7" borderId="10" xfId="1" applyNumberFormat="1" applyFont="1" applyFill="1" applyBorder="1" applyAlignment="1">
      <alignment horizontal="right" wrapText="1"/>
    </xf>
    <xf numFmtId="165" fontId="10" fillId="7" borderId="18" xfId="1" applyNumberFormat="1" applyFont="1" applyFill="1" applyBorder="1" applyAlignment="1">
      <alignment horizontal="right" wrapText="1"/>
    </xf>
    <xf numFmtId="165" fontId="12" fillId="7" borderId="18" xfId="1" applyNumberFormat="1" applyFont="1" applyFill="1" applyBorder="1" applyAlignment="1"/>
    <xf numFmtId="1" fontId="10" fillId="7" borderId="18" xfId="1" applyNumberFormat="1" applyFont="1" applyFill="1" applyBorder="1"/>
    <xf numFmtId="165" fontId="10" fillId="7" borderId="10" xfId="1" applyNumberFormat="1" applyFont="1" applyFill="1" applyBorder="1" applyAlignment="1">
      <alignment wrapText="1"/>
    </xf>
    <xf numFmtId="0" fontId="11" fillId="0" borderId="1" xfId="1" applyFont="1" applyBorder="1" applyAlignment="1">
      <alignment horizontal="left" wrapText="1"/>
    </xf>
    <xf numFmtId="0" fontId="11" fillId="0" borderId="17" xfId="1" applyFont="1" applyBorder="1" applyAlignment="1">
      <alignment horizontal="left" wrapText="1"/>
    </xf>
    <xf numFmtId="4" fontId="10" fillId="0" borderId="18" xfId="1" applyNumberFormat="1" applyFont="1" applyBorder="1" applyAlignment="1">
      <alignment horizontal="right" wrapText="1"/>
    </xf>
    <xf numFmtId="0" fontId="12" fillId="2" borderId="13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vertical="center"/>
    </xf>
    <xf numFmtId="3" fontId="12" fillId="2" borderId="18" xfId="1" applyNumberFormat="1" applyFont="1" applyFill="1" applyBorder="1"/>
    <xf numFmtId="49" fontId="11" fillId="0" borderId="1" xfId="1" applyNumberFormat="1" applyFont="1" applyBorder="1" applyAlignment="1">
      <alignment horizontal="left" vertical="center"/>
    </xf>
    <xf numFmtId="0" fontId="11" fillId="0" borderId="1" xfId="1" applyFont="1" applyFill="1" applyBorder="1" applyAlignment="1">
      <alignment horizontal="center" vertical="center" wrapText="1"/>
    </xf>
    <xf numFmtId="49" fontId="11" fillId="0" borderId="7" xfId="1" applyNumberFormat="1" applyFont="1" applyBorder="1" applyAlignment="1">
      <alignment horizontal="left" vertical="center"/>
    </xf>
    <xf numFmtId="0" fontId="11" fillId="0" borderId="7" xfId="1" applyFont="1" applyFill="1" applyBorder="1" applyAlignment="1">
      <alignment horizontal="center" vertical="center" wrapText="1"/>
    </xf>
    <xf numFmtId="165" fontId="10" fillId="0" borderId="18" xfId="1" applyNumberFormat="1" applyFont="1" applyBorder="1" applyAlignment="1">
      <alignment horizontal="right"/>
    </xf>
    <xf numFmtId="49" fontId="11" fillId="0" borderId="17" xfId="1" applyNumberFormat="1" applyFont="1" applyBorder="1" applyAlignment="1">
      <alignment horizontal="left" vertical="center"/>
    </xf>
    <xf numFmtId="0" fontId="11" fillId="0" borderId="17" xfId="1" applyFont="1" applyFill="1" applyBorder="1" applyAlignment="1">
      <alignment horizontal="center" vertical="center" wrapText="1"/>
    </xf>
    <xf numFmtId="165" fontId="12" fillId="3" borderId="13" xfId="1" applyNumberFormat="1" applyFont="1" applyFill="1" applyBorder="1" applyAlignment="1">
      <alignment horizontal="right" wrapText="1"/>
    </xf>
    <xf numFmtId="165" fontId="12" fillId="6" borderId="13" xfId="1" applyNumberFormat="1" applyFont="1" applyFill="1" applyBorder="1" applyAlignment="1">
      <alignment horizontal="right" wrapText="1"/>
    </xf>
    <xf numFmtId="165" fontId="12" fillId="4" borderId="13" xfId="1" applyNumberFormat="1" applyFont="1" applyFill="1" applyBorder="1" applyAlignment="1">
      <alignment horizontal="right" wrapText="1"/>
    </xf>
    <xf numFmtId="165" fontId="12" fillId="5" borderId="13" xfId="1" applyNumberFormat="1" applyFont="1" applyFill="1" applyBorder="1" applyAlignment="1">
      <alignment horizontal="right" wrapText="1"/>
    </xf>
    <xf numFmtId="4" fontId="12" fillId="6" borderId="13" xfId="1" applyNumberFormat="1" applyFont="1" applyFill="1" applyBorder="1" applyAlignment="1">
      <alignment horizontal="right" wrapText="1"/>
    </xf>
    <xf numFmtId="165" fontId="10" fillId="0" borderId="10" xfId="1" applyNumberFormat="1" applyFont="1" applyFill="1" applyBorder="1" applyAlignment="1">
      <alignment horizontal="right" wrapText="1"/>
    </xf>
    <xf numFmtId="165" fontId="12" fillId="0" borderId="10" xfId="1" applyNumberFormat="1" applyFont="1" applyFill="1" applyBorder="1" applyAlignment="1">
      <alignment horizontal="right" wrapText="1"/>
    </xf>
    <xf numFmtId="49" fontId="11" fillId="0" borderId="0" xfId="1" applyNumberFormat="1" applyFont="1" applyBorder="1" applyAlignment="1">
      <alignment horizontal="center" vertical="center"/>
    </xf>
    <xf numFmtId="0" fontId="2" fillId="2" borderId="18" xfId="1" applyFont="1" applyFill="1" applyBorder="1"/>
    <xf numFmtId="165" fontId="12" fillId="3" borderId="18" xfId="1" applyNumberFormat="1" applyFont="1" applyFill="1" applyBorder="1" applyAlignment="1">
      <alignment horizontal="right"/>
    </xf>
    <xf numFmtId="165" fontId="12" fillId="4" borderId="18" xfId="1" applyNumberFormat="1" applyFont="1" applyFill="1" applyBorder="1" applyAlignment="1">
      <alignment horizontal="right"/>
    </xf>
    <xf numFmtId="49" fontId="12" fillId="2" borderId="13" xfId="1" applyNumberFormat="1" applyFont="1" applyFill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11" fillId="0" borderId="13" xfId="1" applyNumberFormat="1" applyFont="1" applyBorder="1"/>
    <xf numFmtId="0" fontId="11" fillId="0" borderId="13" xfId="1" applyFont="1" applyBorder="1" applyAlignment="1">
      <alignment wrapText="1"/>
    </xf>
    <xf numFmtId="165" fontId="12" fillId="0" borderId="18" xfId="1" applyNumberFormat="1" applyFont="1" applyBorder="1" applyAlignment="1">
      <alignment horizontal="right"/>
    </xf>
    <xf numFmtId="1" fontId="12" fillId="0" borderId="18" xfId="1" applyNumberFormat="1" applyFont="1" applyBorder="1"/>
    <xf numFmtId="165" fontId="12" fillId="5" borderId="18" xfId="1" applyNumberFormat="1" applyFont="1" applyFill="1" applyBorder="1" applyAlignment="1">
      <alignment horizontal="right"/>
    </xf>
    <xf numFmtId="165" fontId="16" fillId="0" borderId="0" xfId="1" applyNumberFormat="1" applyFont="1" applyBorder="1" applyAlignment="1">
      <alignment horizontal="right"/>
    </xf>
    <xf numFmtId="0" fontId="17" fillId="0" borderId="0" xfId="1" applyFont="1"/>
    <xf numFmtId="165" fontId="12" fillId="0" borderId="0" xfId="1" applyNumberFormat="1" applyFont="1" applyBorder="1" applyAlignment="1">
      <alignment horizontal="right"/>
    </xf>
    <xf numFmtId="165" fontId="17" fillId="0" borderId="0" xfId="1" applyNumberFormat="1" applyFont="1" applyBorder="1" applyAlignment="1">
      <alignment horizontal="right"/>
    </xf>
    <xf numFmtId="168" fontId="17" fillId="0" borderId="0" xfId="1" applyNumberFormat="1" applyFont="1" applyBorder="1"/>
    <xf numFmtId="0" fontId="7" fillId="0" borderId="0" xfId="1" applyFont="1"/>
    <xf numFmtId="165" fontId="7" fillId="0" borderId="0" xfId="1" applyNumberFormat="1" applyFont="1" applyBorder="1"/>
    <xf numFmtId="0" fontId="2" fillId="0" borderId="0" xfId="1" applyFont="1" applyBorder="1"/>
    <xf numFmtId="0" fontId="2" fillId="0" borderId="0" xfId="0" applyFont="1"/>
    <xf numFmtId="165" fontId="9" fillId="0" borderId="0" xfId="1" applyNumberFormat="1" applyFont="1"/>
    <xf numFmtId="169" fontId="7" fillId="0" borderId="0" xfId="1" applyNumberFormat="1" applyFont="1"/>
    <xf numFmtId="165" fontId="2" fillId="0" borderId="0" xfId="1" applyNumberFormat="1" applyFont="1" applyBorder="1"/>
    <xf numFmtId="165" fontId="10" fillId="0" borderId="0" xfId="1" applyNumberFormat="1" applyFont="1" applyBorder="1" applyAlignment="1">
      <alignment horizontal="right" wrapText="1"/>
    </xf>
    <xf numFmtId="165" fontId="10" fillId="0" borderId="0" xfId="1" applyNumberFormat="1" applyFont="1" applyBorder="1" applyAlignment="1">
      <alignment horizontal="right"/>
    </xf>
    <xf numFmtId="170" fontId="7" fillId="0" borderId="0" xfId="1" applyNumberFormat="1" applyFont="1" applyAlignment="1">
      <alignment horizontal="left"/>
    </xf>
  </cellXfs>
  <cellStyles count="10">
    <cellStyle name="Обычный" xfId="0" builtinId="0"/>
    <cellStyle name="Обычный 2" xfId="1"/>
    <cellStyle name="Обычный 2 2" xfId="3"/>
    <cellStyle name="Обычный 2 3" xfId="4"/>
    <cellStyle name="Обычный 3" xfId="5"/>
    <cellStyle name="Обычный 3 3" xfId="6"/>
    <cellStyle name="Обычный 4" xfId="7"/>
    <cellStyle name="Обычный 5" xfId="2"/>
    <cellStyle name="Тысячи [0]_Лист1" xfId="8"/>
    <cellStyle name="Тысячи_Лист1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28"/>
  <sheetViews>
    <sheetView tabSelected="1" view="pageBreakPreview" topLeftCell="B1" zoomScale="90" zoomScaleSheetLayoutView="90" workbookViewId="0">
      <pane xSplit="11" ySplit="8" topLeftCell="M90" activePane="bottomRight" state="frozen"/>
      <selection activeCell="B1" sqref="B1"/>
      <selection pane="topRight" activeCell="O1" sqref="O1"/>
      <selection pane="bottomLeft" activeCell="B8" sqref="B8"/>
      <selection pane="bottomRight" activeCell="O116" sqref="O116"/>
    </sheetView>
  </sheetViews>
  <sheetFormatPr defaultRowHeight="12.75"/>
  <cols>
    <col min="1" max="1" width="2.25" style="1" customWidth="1"/>
    <col min="2" max="2" width="3.125" style="1" customWidth="1"/>
    <col min="3" max="3" width="32.875" style="1" customWidth="1"/>
    <col min="4" max="4" width="8.625" style="1" customWidth="1"/>
    <col min="5" max="5" width="4.875" style="1" customWidth="1"/>
    <col min="6" max="6" width="6.625" style="1" customWidth="1"/>
    <col min="7" max="7" width="9.25" style="1" customWidth="1"/>
    <col min="8" max="8" width="4.75" style="1" customWidth="1"/>
    <col min="9" max="9" width="9" style="1" customWidth="1"/>
    <col min="10" max="11" width="9.625" style="1" bestFit="1" customWidth="1"/>
    <col min="12" max="12" width="8.25" style="1" customWidth="1"/>
    <col min="13" max="13" width="0.25" style="1" customWidth="1"/>
    <col min="14" max="14" width="11.875" style="1" customWidth="1"/>
    <col min="15" max="15" width="10.5" style="1" bestFit="1" customWidth="1"/>
    <col min="16" max="16" width="11.375" style="1" bestFit="1" customWidth="1"/>
    <col min="17" max="17" width="9" style="1" customWidth="1"/>
    <col min="18" max="18" width="0.375" style="1" customWidth="1"/>
    <col min="19" max="19" width="10" style="1" customWidth="1"/>
    <col min="20" max="21" width="9.625" style="1" bestFit="1" customWidth="1"/>
    <col min="22" max="22" width="8.25" style="1" customWidth="1"/>
    <col min="23" max="23" width="0.5" style="1" customWidth="1"/>
    <col min="24" max="24" width="0.375" style="1" customWidth="1"/>
    <col min="25" max="25" width="9.25" style="1" customWidth="1"/>
    <col min="26" max="26" width="9.625" style="1" bestFit="1" customWidth="1"/>
    <col min="27" max="28" width="9" style="1"/>
    <col min="29" max="29" width="0.5" style="3" customWidth="1"/>
    <col min="30" max="30" width="11.375" style="1" bestFit="1" customWidth="1"/>
    <col min="31" max="31" width="13.25" style="1" customWidth="1"/>
    <col min="32" max="250" width="9" style="1"/>
    <col min="251" max="251" width="2.25" style="1" customWidth="1"/>
    <col min="252" max="252" width="33.5" style="1" customWidth="1"/>
    <col min="253" max="253" width="3.125" style="1" customWidth="1"/>
    <col min="254" max="254" width="52.625" style="1" customWidth="1"/>
    <col min="255" max="255" width="15.875" style="1" customWidth="1"/>
    <col min="256" max="256" width="15.5" style="1" customWidth="1"/>
    <col min="257" max="257" width="12.625" style="1" customWidth="1"/>
    <col min="258" max="506" width="9" style="1"/>
    <col min="507" max="507" width="2.25" style="1" customWidth="1"/>
    <col min="508" max="508" width="33.5" style="1" customWidth="1"/>
    <col min="509" max="509" width="3.125" style="1" customWidth="1"/>
    <col min="510" max="510" width="52.625" style="1" customWidth="1"/>
    <col min="511" max="511" width="15.875" style="1" customWidth="1"/>
    <col min="512" max="512" width="15.5" style="1" customWidth="1"/>
    <col min="513" max="513" width="12.625" style="1" customWidth="1"/>
    <col min="514" max="762" width="9" style="1"/>
    <col min="763" max="763" width="2.25" style="1" customWidth="1"/>
    <col min="764" max="764" width="33.5" style="1" customWidth="1"/>
    <col min="765" max="765" width="3.125" style="1" customWidth="1"/>
    <col min="766" max="766" width="52.625" style="1" customWidth="1"/>
    <col min="767" max="767" width="15.875" style="1" customWidth="1"/>
    <col min="768" max="768" width="15.5" style="1" customWidth="1"/>
    <col min="769" max="769" width="12.625" style="1" customWidth="1"/>
    <col min="770" max="1018" width="9" style="1"/>
    <col min="1019" max="1019" width="2.25" style="1" customWidth="1"/>
    <col min="1020" max="1020" width="33.5" style="1" customWidth="1"/>
    <col min="1021" max="1021" width="3.125" style="1" customWidth="1"/>
    <col min="1022" max="1022" width="52.625" style="1" customWidth="1"/>
    <col min="1023" max="1023" width="15.875" style="1" customWidth="1"/>
    <col min="1024" max="1024" width="15.5" style="1" customWidth="1"/>
    <col min="1025" max="1025" width="12.625" style="1" customWidth="1"/>
    <col min="1026" max="1274" width="9" style="1"/>
    <col min="1275" max="1275" width="2.25" style="1" customWidth="1"/>
    <col min="1276" max="1276" width="33.5" style="1" customWidth="1"/>
    <col min="1277" max="1277" width="3.125" style="1" customWidth="1"/>
    <col min="1278" max="1278" width="52.625" style="1" customWidth="1"/>
    <col min="1279" max="1279" width="15.875" style="1" customWidth="1"/>
    <col min="1280" max="1280" width="15.5" style="1" customWidth="1"/>
    <col min="1281" max="1281" width="12.625" style="1" customWidth="1"/>
    <col min="1282" max="1530" width="9" style="1"/>
    <col min="1531" max="1531" width="2.25" style="1" customWidth="1"/>
    <col min="1532" max="1532" width="33.5" style="1" customWidth="1"/>
    <col min="1533" max="1533" width="3.125" style="1" customWidth="1"/>
    <col min="1534" max="1534" width="52.625" style="1" customWidth="1"/>
    <col min="1535" max="1535" width="15.875" style="1" customWidth="1"/>
    <col min="1536" max="1536" width="15.5" style="1" customWidth="1"/>
    <col min="1537" max="1537" width="12.625" style="1" customWidth="1"/>
    <col min="1538" max="1786" width="9" style="1"/>
    <col min="1787" max="1787" width="2.25" style="1" customWidth="1"/>
    <col min="1788" max="1788" width="33.5" style="1" customWidth="1"/>
    <col min="1789" max="1789" width="3.125" style="1" customWidth="1"/>
    <col min="1790" max="1790" width="52.625" style="1" customWidth="1"/>
    <col min="1791" max="1791" width="15.875" style="1" customWidth="1"/>
    <col min="1792" max="1792" width="15.5" style="1" customWidth="1"/>
    <col min="1793" max="1793" width="12.625" style="1" customWidth="1"/>
    <col min="1794" max="2042" width="9" style="1"/>
    <col min="2043" max="2043" width="2.25" style="1" customWidth="1"/>
    <col min="2044" max="2044" width="33.5" style="1" customWidth="1"/>
    <col min="2045" max="2045" width="3.125" style="1" customWidth="1"/>
    <col min="2046" max="2046" width="52.625" style="1" customWidth="1"/>
    <col min="2047" max="2047" width="15.875" style="1" customWidth="1"/>
    <col min="2048" max="2048" width="15.5" style="1" customWidth="1"/>
    <col min="2049" max="2049" width="12.625" style="1" customWidth="1"/>
    <col min="2050" max="2298" width="9" style="1"/>
    <col min="2299" max="2299" width="2.25" style="1" customWidth="1"/>
    <col min="2300" max="2300" width="33.5" style="1" customWidth="1"/>
    <col min="2301" max="2301" width="3.125" style="1" customWidth="1"/>
    <col min="2302" max="2302" width="52.625" style="1" customWidth="1"/>
    <col min="2303" max="2303" width="15.875" style="1" customWidth="1"/>
    <col min="2304" max="2304" width="15.5" style="1" customWidth="1"/>
    <col min="2305" max="2305" width="12.625" style="1" customWidth="1"/>
    <col min="2306" max="2554" width="9" style="1"/>
    <col min="2555" max="2555" width="2.25" style="1" customWidth="1"/>
    <col min="2556" max="2556" width="33.5" style="1" customWidth="1"/>
    <col min="2557" max="2557" width="3.125" style="1" customWidth="1"/>
    <col min="2558" max="2558" width="52.625" style="1" customWidth="1"/>
    <col min="2559" max="2559" width="15.875" style="1" customWidth="1"/>
    <col min="2560" max="2560" width="15.5" style="1" customWidth="1"/>
    <col min="2561" max="2561" width="12.625" style="1" customWidth="1"/>
    <col min="2562" max="2810" width="9" style="1"/>
    <col min="2811" max="2811" width="2.25" style="1" customWidth="1"/>
    <col min="2812" max="2812" width="33.5" style="1" customWidth="1"/>
    <col min="2813" max="2813" width="3.125" style="1" customWidth="1"/>
    <col min="2814" max="2814" width="52.625" style="1" customWidth="1"/>
    <col min="2815" max="2815" width="15.875" style="1" customWidth="1"/>
    <col min="2816" max="2816" width="15.5" style="1" customWidth="1"/>
    <col min="2817" max="2817" width="12.625" style="1" customWidth="1"/>
    <col min="2818" max="3066" width="9" style="1"/>
    <col min="3067" max="3067" width="2.25" style="1" customWidth="1"/>
    <col min="3068" max="3068" width="33.5" style="1" customWidth="1"/>
    <col min="3069" max="3069" width="3.125" style="1" customWidth="1"/>
    <col min="3070" max="3070" width="52.625" style="1" customWidth="1"/>
    <col min="3071" max="3071" width="15.875" style="1" customWidth="1"/>
    <col min="3072" max="3072" width="15.5" style="1" customWidth="1"/>
    <col min="3073" max="3073" width="12.625" style="1" customWidth="1"/>
    <col min="3074" max="3322" width="9" style="1"/>
    <col min="3323" max="3323" width="2.25" style="1" customWidth="1"/>
    <col min="3324" max="3324" width="33.5" style="1" customWidth="1"/>
    <col min="3325" max="3325" width="3.125" style="1" customWidth="1"/>
    <col min="3326" max="3326" width="52.625" style="1" customWidth="1"/>
    <col min="3327" max="3327" width="15.875" style="1" customWidth="1"/>
    <col min="3328" max="3328" width="15.5" style="1" customWidth="1"/>
    <col min="3329" max="3329" width="12.625" style="1" customWidth="1"/>
    <col min="3330" max="3578" width="9" style="1"/>
    <col min="3579" max="3579" width="2.25" style="1" customWidth="1"/>
    <col min="3580" max="3580" width="33.5" style="1" customWidth="1"/>
    <col min="3581" max="3581" width="3.125" style="1" customWidth="1"/>
    <col min="3582" max="3582" width="52.625" style="1" customWidth="1"/>
    <col min="3583" max="3583" width="15.875" style="1" customWidth="1"/>
    <col min="3584" max="3584" width="15.5" style="1" customWidth="1"/>
    <col min="3585" max="3585" width="12.625" style="1" customWidth="1"/>
    <col min="3586" max="3834" width="9" style="1"/>
    <col min="3835" max="3835" width="2.25" style="1" customWidth="1"/>
    <col min="3836" max="3836" width="33.5" style="1" customWidth="1"/>
    <col min="3837" max="3837" width="3.125" style="1" customWidth="1"/>
    <col min="3838" max="3838" width="52.625" style="1" customWidth="1"/>
    <col min="3839" max="3839" width="15.875" style="1" customWidth="1"/>
    <col min="3840" max="3840" width="15.5" style="1" customWidth="1"/>
    <col min="3841" max="3841" width="12.625" style="1" customWidth="1"/>
    <col min="3842" max="4090" width="9" style="1"/>
    <col min="4091" max="4091" width="2.25" style="1" customWidth="1"/>
    <col min="4092" max="4092" width="33.5" style="1" customWidth="1"/>
    <col min="4093" max="4093" width="3.125" style="1" customWidth="1"/>
    <col min="4094" max="4094" width="52.625" style="1" customWidth="1"/>
    <col min="4095" max="4095" width="15.875" style="1" customWidth="1"/>
    <col min="4096" max="4096" width="15.5" style="1" customWidth="1"/>
    <col min="4097" max="4097" width="12.625" style="1" customWidth="1"/>
    <col min="4098" max="4346" width="9" style="1"/>
    <col min="4347" max="4347" width="2.25" style="1" customWidth="1"/>
    <col min="4348" max="4348" width="33.5" style="1" customWidth="1"/>
    <col min="4349" max="4349" width="3.125" style="1" customWidth="1"/>
    <col min="4350" max="4350" width="52.625" style="1" customWidth="1"/>
    <col min="4351" max="4351" width="15.875" style="1" customWidth="1"/>
    <col min="4352" max="4352" width="15.5" style="1" customWidth="1"/>
    <col min="4353" max="4353" width="12.625" style="1" customWidth="1"/>
    <col min="4354" max="4602" width="9" style="1"/>
    <col min="4603" max="4603" width="2.25" style="1" customWidth="1"/>
    <col min="4604" max="4604" width="33.5" style="1" customWidth="1"/>
    <col min="4605" max="4605" width="3.125" style="1" customWidth="1"/>
    <col min="4606" max="4606" width="52.625" style="1" customWidth="1"/>
    <col min="4607" max="4607" width="15.875" style="1" customWidth="1"/>
    <col min="4608" max="4608" width="15.5" style="1" customWidth="1"/>
    <col min="4609" max="4609" width="12.625" style="1" customWidth="1"/>
    <col min="4610" max="4858" width="9" style="1"/>
    <col min="4859" max="4859" width="2.25" style="1" customWidth="1"/>
    <col min="4860" max="4860" width="33.5" style="1" customWidth="1"/>
    <col min="4861" max="4861" width="3.125" style="1" customWidth="1"/>
    <col min="4862" max="4862" width="52.625" style="1" customWidth="1"/>
    <col min="4863" max="4863" width="15.875" style="1" customWidth="1"/>
    <col min="4864" max="4864" width="15.5" style="1" customWidth="1"/>
    <col min="4865" max="4865" width="12.625" style="1" customWidth="1"/>
    <col min="4866" max="5114" width="9" style="1"/>
    <col min="5115" max="5115" width="2.25" style="1" customWidth="1"/>
    <col min="5116" max="5116" width="33.5" style="1" customWidth="1"/>
    <col min="5117" max="5117" width="3.125" style="1" customWidth="1"/>
    <col min="5118" max="5118" width="52.625" style="1" customWidth="1"/>
    <col min="5119" max="5119" width="15.875" style="1" customWidth="1"/>
    <col min="5120" max="5120" width="15.5" style="1" customWidth="1"/>
    <col min="5121" max="5121" width="12.625" style="1" customWidth="1"/>
    <col min="5122" max="5370" width="9" style="1"/>
    <col min="5371" max="5371" width="2.25" style="1" customWidth="1"/>
    <col min="5372" max="5372" width="33.5" style="1" customWidth="1"/>
    <col min="5373" max="5373" width="3.125" style="1" customWidth="1"/>
    <col min="5374" max="5374" width="52.625" style="1" customWidth="1"/>
    <col min="5375" max="5375" width="15.875" style="1" customWidth="1"/>
    <col min="5376" max="5376" width="15.5" style="1" customWidth="1"/>
    <col min="5377" max="5377" width="12.625" style="1" customWidth="1"/>
    <col min="5378" max="5626" width="9" style="1"/>
    <col min="5627" max="5627" width="2.25" style="1" customWidth="1"/>
    <col min="5628" max="5628" width="33.5" style="1" customWidth="1"/>
    <col min="5629" max="5629" width="3.125" style="1" customWidth="1"/>
    <col min="5630" max="5630" width="52.625" style="1" customWidth="1"/>
    <col min="5631" max="5631" width="15.875" style="1" customWidth="1"/>
    <col min="5632" max="5632" width="15.5" style="1" customWidth="1"/>
    <col min="5633" max="5633" width="12.625" style="1" customWidth="1"/>
    <col min="5634" max="5882" width="9" style="1"/>
    <col min="5883" max="5883" width="2.25" style="1" customWidth="1"/>
    <col min="5884" max="5884" width="33.5" style="1" customWidth="1"/>
    <col min="5885" max="5885" width="3.125" style="1" customWidth="1"/>
    <col min="5886" max="5886" width="52.625" style="1" customWidth="1"/>
    <col min="5887" max="5887" width="15.875" style="1" customWidth="1"/>
    <col min="5888" max="5888" width="15.5" style="1" customWidth="1"/>
    <col min="5889" max="5889" width="12.625" style="1" customWidth="1"/>
    <col min="5890" max="6138" width="9" style="1"/>
    <col min="6139" max="6139" width="2.25" style="1" customWidth="1"/>
    <col min="6140" max="6140" width="33.5" style="1" customWidth="1"/>
    <col min="6141" max="6141" width="3.125" style="1" customWidth="1"/>
    <col min="6142" max="6142" width="52.625" style="1" customWidth="1"/>
    <col min="6143" max="6143" width="15.875" style="1" customWidth="1"/>
    <col min="6144" max="6144" width="15.5" style="1" customWidth="1"/>
    <col min="6145" max="6145" width="12.625" style="1" customWidth="1"/>
    <col min="6146" max="6394" width="9" style="1"/>
    <col min="6395" max="6395" width="2.25" style="1" customWidth="1"/>
    <col min="6396" max="6396" width="33.5" style="1" customWidth="1"/>
    <col min="6397" max="6397" width="3.125" style="1" customWidth="1"/>
    <col min="6398" max="6398" width="52.625" style="1" customWidth="1"/>
    <col min="6399" max="6399" width="15.875" style="1" customWidth="1"/>
    <col min="6400" max="6400" width="15.5" style="1" customWidth="1"/>
    <col min="6401" max="6401" width="12.625" style="1" customWidth="1"/>
    <col min="6402" max="6650" width="9" style="1"/>
    <col min="6651" max="6651" width="2.25" style="1" customWidth="1"/>
    <col min="6652" max="6652" width="33.5" style="1" customWidth="1"/>
    <col min="6653" max="6653" width="3.125" style="1" customWidth="1"/>
    <col min="6654" max="6654" width="52.625" style="1" customWidth="1"/>
    <col min="6655" max="6655" width="15.875" style="1" customWidth="1"/>
    <col min="6656" max="6656" width="15.5" style="1" customWidth="1"/>
    <col min="6657" max="6657" width="12.625" style="1" customWidth="1"/>
    <col min="6658" max="6906" width="9" style="1"/>
    <col min="6907" max="6907" width="2.25" style="1" customWidth="1"/>
    <col min="6908" max="6908" width="33.5" style="1" customWidth="1"/>
    <col min="6909" max="6909" width="3.125" style="1" customWidth="1"/>
    <col min="6910" max="6910" width="52.625" style="1" customWidth="1"/>
    <col min="6911" max="6911" width="15.875" style="1" customWidth="1"/>
    <col min="6912" max="6912" width="15.5" style="1" customWidth="1"/>
    <col min="6913" max="6913" width="12.625" style="1" customWidth="1"/>
    <col min="6914" max="7162" width="9" style="1"/>
    <col min="7163" max="7163" width="2.25" style="1" customWidth="1"/>
    <col min="7164" max="7164" width="33.5" style="1" customWidth="1"/>
    <col min="7165" max="7165" width="3.125" style="1" customWidth="1"/>
    <col min="7166" max="7166" width="52.625" style="1" customWidth="1"/>
    <col min="7167" max="7167" width="15.875" style="1" customWidth="1"/>
    <col min="7168" max="7168" width="15.5" style="1" customWidth="1"/>
    <col min="7169" max="7169" width="12.625" style="1" customWidth="1"/>
    <col min="7170" max="7418" width="9" style="1"/>
    <col min="7419" max="7419" width="2.25" style="1" customWidth="1"/>
    <col min="7420" max="7420" width="33.5" style="1" customWidth="1"/>
    <col min="7421" max="7421" width="3.125" style="1" customWidth="1"/>
    <col min="7422" max="7422" width="52.625" style="1" customWidth="1"/>
    <col min="7423" max="7423" width="15.875" style="1" customWidth="1"/>
    <col min="7424" max="7424" width="15.5" style="1" customWidth="1"/>
    <col min="7425" max="7425" width="12.625" style="1" customWidth="1"/>
    <col min="7426" max="7674" width="9" style="1"/>
    <col min="7675" max="7675" width="2.25" style="1" customWidth="1"/>
    <col min="7676" max="7676" width="33.5" style="1" customWidth="1"/>
    <col min="7677" max="7677" width="3.125" style="1" customWidth="1"/>
    <col min="7678" max="7678" width="52.625" style="1" customWidth="1"/>
    <col min="7679" max="7679" width="15.875" style="1" customWidth="1"/>
    <col min="7680" max="7680" width="15.5" style="1" customWidth="1"/>
    <col min="7681" max="7681" width="12.625" style="1" customWidth="1"/>
    <col min="7682" max="7930" width="9" style="1"/>
    <col min="7931" max="7931" width="2.25" style="1" customWidth="1"/>
    <col min="7932" max="7932" width="33.5" style="1" customWidth="1"/>
    <col min="7933" max="7933" width="3.125" style="1" customWidth="1"/>
    <col min="7934" max="7934" width="52.625" style="1" customWidth="1"/>
    <col min="7935" max="7935" width="15.875" style="1" customWidth="1"/>
    <col min="7936" max="7936" width="15.5" style="1" customWidth="1"/>
    <col min="7937" max="7937" width="12.625" style="1" customWidth="1"/>
    <col min="7938" max="8186" width="9" style="1"/>
    <col min="8187" max="8187" width="2.25" style="1" customWidth="1"/>
    <col min="8188" max="8188" width="33.5" style="1" customWidth="1"/>
    <col min="8189" max="8189" width="3.125" style="1" customWidth="1"/>
    <col min="8190" max="8190" width="52.625" style="1" customWidth="1"/>
    <col min="8191" max="8191" width="15.875" style="1" customWidth="1"/>
    <col min="8192" max="8192" width="15.5" style="1" customWidth="1"/>
    <col min="8193" max="8193" width="12.625" style="1" customWidth="1"/>
    <col min="8194" max="8442" width="9" style="1"/>
    <col min="8443" max="8443" width="2.25" style="1" customWidth="1"/>
    <col min="8444" max="8444" width="33.5" style="1" customWidth="1"/>
    <col min="8445" max="8445" width="3.125" style="1" customWidth="1"/>
    <col min="8446" max="8446" width="52.625" style="1" customWidth="1"/>
    <col min="8447" max="8447" width="15.875" style="1" customWidth="1"/>
    <col min="8448" max="8448" width="15.5" style="1" customWidth="1"/>
    <col min="8449" max="8449" width="12.625" style="1" customWidth="1"/>
    <col min="8450" max="8698" width="9" style="1"/>
    <col min="8699" max="8699" width="2.25" style="1" customWidth="1"/>
    <col min="8700" max="8700" width="33.5" style="1" customWidth="1"/>
    <col min="8701" max="8701" width="3.125" style="1" customWidth="1"/>
    <col min="8702" max="8702" width="52.625" style="1" customWidth="1"/>
    <col min="8703" max="8703" width="15.875" style="1" customWidth="1"/>
    <col min="8704" max="8704" width="15.5" style="1" customWidth="1"/>
    <col min="8705" max="8705" width="12.625" style="1" customWidth="1"/>
    <col min="8706" max="8954" width="9" style="1"/>
    <col min="8955" max="8955" width="2.25" style="1" customWidth="1"/>
    <col min="8956" max="8956" width="33.5" style="1" customWidth="1"/>
    <col min="8957" max="8957" width="3.125" style="1" customWidth="1"/>
    <col min="8958" max="8958" width="52.625" style="1" customWidth="1"/>
    <col min="8959" max="8959" width="15.875" style="1" customWidth="1"/>
    <col min="8960" max="8960" width="15.5" style="1" customWidth="1"/>
    <col min="8961" max="8961" width="12.625" style="1" customWidth="1"/>
    <col min="8962" max="9210" width="9" style="1"/>
    <col min="9211" max="9211" width="2.25" style="1" customWidth="1"/>
    <col min="9212" max="9212" width="33.5" style="1" customWidth="1"/>
    <col min="9213" max="9213" width="3.125" style="1" customWidth="1"/>
    <col min="9214" max="9214" width="52.625" style="1" customWidth="1"/>
    <col min="9215" max="9215" width="15.875" style="1" customWidth="1"/>
    <col min="9216" max="9216" width="15.5" style="1" customWidth="1"/>
    <col min="9217" max="9217" width="12.625" style="1" customWidth="1"/>
    <col min="9218" max="9466" width="9" style="1"/>
    <col min="9467" max="9467" width="2.25" style="1" customWidth="1"/>
    <col min="9468" max="9468" width="33.5" style="1" customWidth="1"/>
    <col min="9469" max="9469" width="3.125" style="1" customWidth="1"/>
    <col min="9470" max="9470" width="52.625" style="1" customWidth="1"/>
    <col min="9471" max="9471" width="15.875" style="1" customWidth="1"/>
    <col min="9472" max="9472" width="15.5" style="1" customWidth="1"/>
    <col min="9473" max="9473" width="12.625" style="1" customWidth="1"/>
    <col min="9474" max="9722" width="9" style="1"/>
    <col min="9723" max="9723" width="2.25" style="1" customWidth="1"/>
    <col min="9724" max="9724" width="33.5" style="1" customWidth="1"/>
    <col min="9725" max="9725" width="3.125" style="1" customWidth="1"/>
    <col min="9726" max="9726" width="52.625" style="1" customWidth="1"/>
    <col min="9727" max="9727" width="15.875" style="1" customWidth="1"/>
    <col min="9728" max="9728" width="15.5" style="1" customWidth="1"/>
    <col min="9729" max="9729" width="12.625" style="1" customWidth="1"/>
    <col min="9730" max="9978" width="9" style="1"/>
    <col min="9979" max="9979" width="2.25" style="1" customWidth="1"/>
    <col min="9980" max="9980" width="33.5" style="1" customWidth="1"/>
    <col min="9981" max="9981" width="3.125" style="1" customWidth="1"/>
    <col min="9982" max="9982" width="52.625" style="1" customWidth="1"/>
    <col min="9983" max="9983" width="15.875" style="1" customWidth="1"/>
    <col min="9984" max="9984" width="15.5" style="1" customWidth="1"/>
    <col min="9985" max="9985" width="12.625" style="1" customWidth="1"/>
    <col min="9986" max="10234" width="9" style="1"/>
    <col min="10235" max="10235" width="2.25" style="1" customWidth="1"/>
    <col min="10236" max="10236" width="33.5" style="1" customWidth="1"/>
    <col min="10237" max="10237" width="3.125" style="1" customWidth="1"/>
    <col min="10238" max="10238" width="52.625" style="1" customWidth="1"/>
    <col min="10239" max="10239" width="15.875" style="1" customWidth="1"/>
    <col min="10240" max="10240" width="15.5" style="1" customWidth="1"/>
    <col min="10241" max="10241" width="12.625" style="1" customWidth="1"/>
    <col min="10242" max="10490" width="9" style="1"/>
    <col min="10491" max="10491" width="2.25" style="1" customWidth="1"/>
    <col min="10492" max="10492" width="33.5" style="1" customWidth="1"/>
    <col min="10493" max="10493" width="3.125" style="1" customWidth="1"/>
    <col min="10494" max="10494" width="52.625" style="1" customWidth="1"/>
    <col min="10495" max="10495" width="15.875" style="1" customWidth="1"/>
    <col min="10496" max="10496" width="15.5" style="1" customWidth="1"/>
    <col min="10497" max="10497" width="12.625" style="1" customWidth="1"/>
    <col min="10498" max="10746" width="9" style="1"/>
    <col min="10747" max="10747" width="2.25" style="1" customWidth="1"/>
    <col min="10748" max="10748" width="33.5" style="1" customWidth="1"/>
    <col min="10749" max="10749" width="3.125" style="1" customWidth="1"/>
    <col min="10750" max="10750" width="52.625" style="1" customWidth="1"/>
    <col min="10751" max="10751" width="15.875" style="1" customWidth="1"/>
    <col min="10752" max="10752" width="15.5" style="1" customWidth="1"/>
    <col min="10753" max="10753" width="12.625" style="1" customWidth="1"/>
    <col min="10754" max="11002" width="9" style="1"/>
    <col min="11003" max="11003" width="2.25" style="1" customWidth="1"/>
    <col min="11004" max="11004" width="33.5" style="1" customWidth="1"/>
    <col min="11005" max="11005" width="3.125" style="1" customWidth="1"/>
    <col min="11006" max="11006" width="52.625" style="1" customWidth="1"/>
    <col min="11007" max="11007" width="15.875" style="1" customWidth="1"/>
    <col min="11008" max="11008" width="15.5" style="1" customWidth="1"/>
    <col min="11009" max="11009" width="12.625" style="1" customWidth="1"/>
    <col min="11010" max="11258" width="9" style="1"/>
    <col min="11259" max="11259" width="2.25" style="1" customWidth="1"/>
    <col min="11260" max="11260" width="33.5" style="1" customWidth="1"/>
    <col min="11261" max="11261" width="3.125" style="1" customWidth="1"/>
    <col min="11262" max="11262" width="52.625" style="1" customWidth="1"/>
    <col min="11263" max="11263" width="15.875" style="1" customWidth="1"/>
    <col min="11264" max="11264" width="15.5" style="1" customWidth="1"/>
    <col min="11265" max="11265" width="12.625" style="1" customWidth="1"/>
    <col min="11266" max="11514" width="9" style="1"/>
    <col min="11515" max="11515" width="2.25" style="1" customWidth="1"/>
    <col min="11516" max="11516" width="33.5" style="1" customWidth="1"/>
    <col min="11517" max="11517" width="3.125" style="1" customWidth="1"/>
    <col min="11518" max="11518" width="52.625" style="1" customWidth="1"/>
    <col min="11519" max="11519" width="15.875" style="1" customWidth="1"/>
    <col min="11520" max="11520" width="15.5" style="1" customWidth="1"/>
    <col min="11521" max="11521" width="12.625" style="1" customWidth="1"/>
    <col min="11522" max="11770" width="9" style="1"/>
    <col min="11771" max="11771" width="2.25" style="1" customWidth="1"/>
    <col min="11772" max="11772" width="33.5" style="1" customWidth="1"/>
    <col min="11773" max="11773" width="3.125" style="1" customWidth="1"/>
    <col min="11774" max="11774" width="52.625" style="1" customWidth="1"/>
    <col min="11775" max="11775" width="15.875" style="1" customWidth="1"/>
    <col min="11776" max="11776" width="15.5" style="1" customWidth="1"/>
    <col min="11777" max="11777" width="12.625" style="1" customWidth="1"/>
    <col min="11778" max="12026" width="9" style="1"/>
    <col min="12027" max="12027" width="2.25" style="1" customWidth="1"/>
    <col min="12028" max="12028" width="33.5" style="1" customWidth="1"/>
    <col min="12029" max="12029" width="3.125" style="1" customWidth="1"/>
    <col min="12030" max="12030" width="52.625" style="1" customWidth="1"/>
    <col min="12031" max="12031" width="15.875" style="1" customWidth="1"/>
    <col min="12032" max="12032" width="15.5" style="1" customWidth="1"/>
    <col min="12033" max="12033" width="12.625" style="1" customWidth="1"/>
    <col min="12034" max="12282" width="9" style="1"/>
    <col min="12283" max="12283" width="2.25" style="1" customWidth="1"/>
    <col min="12284" max="12284" width="33.5" style="1" customWidth="1"/>
    <col min="12285" max="12285" width="3.125" style="1" customWidth="1"/>
    <col min="12286" max="12286" width="52.625" style="1" customWidth="1"/>
    <col min="12287" max="12287" width="15.875" style="1" customWidth="1"/>
    <col min="12288" max="12288" width="15.5" style="1" customWidth="1"/>
    <col min="12289" max="12289" width="12.625" style="1" customWidth="1"/>
    <col min="12290" max="12538" width="9" style="1"/>
    <col min="12539" max="12539" width="2.25" style="1" customWidth="1"/>
    <col min="12540" max="12540" width="33.5" style="1" customWidth="1"/>
    <col min="12541" max="12541" width="3.125" style="1" customWidth="1"/>
    <col min="12542" max="12542" width="52.625" style="1" customWidth="1"/>
    <col min="12543" max="12543" width="15.875" style="1" customWidth="1"/>
    <col min="12544" max="12544" width="15.5" style="1" customWidth="1"/>
    <col min="12545" max="12545" width="12.625" style="1" customWidth="1"/>
    <col min="12546" max="12794" width="9" style="1"/>
    <col min="12795" max="12795" width="2.25" style="1" customWidth="1"/>
    <col min="12796" max="12796" width="33.5" style="1" customWidth="1"/>
    <col min="12797" max="12797" width="3.125" style="1" customWidth="1"/>
    <col min="12798" max="12798" width="52.625" style="1" customWidth="1"/>
    <col min="12799" max="12799" width="15.875" style="1" customWidth="1"/>
    <col min="12800" max="12800" width="15.5" style="1" customWidth="1"/>
    <col min="12801" max="12801" width="12.625" style="1" customWidth="1"/>
    <col min="12802" max="13050" width="9" style="1"/>
    <col min="13051" max="13051" width="2.25" style="1" customWidth="1"/>
    <col min="13052" max="13052" width="33.5" style="1" customWidth="1"/>
    <col min="13053" max="13053" width="3.125" style="1" customWidth="1"/>
    <col min="13054" max="13054" width="52.625" style="1" customWidth="1"/>
    <col min="13055" max="13055" width="15.875" style="1" customWidth="1"/>
    <col min="13056" max="13056" width="15.5" style="1" customWidth="1"/>
    <col min="13057" max="13057" width="12.625" style="1" customWidth="1"/>
    <col min="13058" max="13306" width="9" style="1"/>
    <col min="13307" max="13307" width="2.25" style="1" customWidth="1"/>
    <col min="13308" max="13308" width="33.5" style="1" customWidth="1"/>
    <col min="13309" max="13309" width="3.125" style="1" customWidth="1"/>
    <col min="13310" max="13310" width="52.625" style="1" customWidth="1"/>
    <col min="13311" max="13311" width="15.875" style="1" customWidth="1"/>
    <col min="13312" max="13312" width="15.5" style="1" customWidth="1"/>
    <col min="13313" max="13313" width="12.625" style="1" customWidth="1"/>
    <col min="13314" max="13562" width="9" style="1"/>
    <col min="13563" max="13563" width="2.25" style="1" customWidth="1"/>
    <col min="13564" max="13564" width="33.5" style="1" customWidth="1"/>
    <col min="13565" max="13565" width="3.125" style="1" customWidth="1"/>
    <col min="13566" max="13566" width="52.625" style="1" customWidth="1"/>
    <col min="13567" max="13567" width="15.875" style="1" customWidth="1"/>
    <col min="13568" max="13568" width="15.5" style="1" customWidth="1"/>
    <col min="13569" max="13569" width="12.625" style="1" customWidth="1"/>
    <col min="13570" max="13818" width="9" style="1"/>
    <col min="13819" max="13819" width="2.25" style="1" customWidth="1"/>
    <col min="13820" max="13820" width="33.5" style="1" customWidth="1"/>
    <col min="13821" max="13821" width="3.125" style="1" customWidth="1"/>
    <col min="13822" max="13822" width="52.625" style="1" customWidth="1"/>
    <col min="13823" max="13823" width="15.875" style="1" customWidth="1"/>
    <col min="13824" max="13824" width="15.5" style="1" customWidth="1"/>
    <col min="13825" max="13825" width="12.625" style="1" customWidth="1"/>
    <col min="13826" max="14074" width="9" style="1"/>
    <col min="14075" max="14075" width="2.25" style="1" customWidth="1"/>
    <col min="14076" max="14076" width="33.5" style="1" customWidth="1"/>
    <col min="14077" max="14077" width="3.125" style="1" customWidth="1"/>
    <col min="14078" max="14078" width="52.625" style="1" customWidth="1"/>
    <col min="14079" max="14079" width="15.875" style="1" customWidth="1"/>
    <col min="14080" max="14080" width="15.5" style="1" customWidth="1"/>
    <col min="14081" max="14081" width="12.625" style="1" customWidth="1"/>
    <col min="14082" max="14330" width="9" style="1"/>
    <col min="14331" max="14331" width="2.25" style="1" customWidth="1"/>
    <col min="14332" max="14332" width="33.5" style="1" customWidth="1"/>
    <col min="14333" max="14333" width="3.125" style="1" customWidth="1"/>
    <col min="14334" max="14334" width="52.625" style="1" customWidth="1"/>
    <col min="14335" max="14335" width="15.875" style="1" customWidth="1"/>
    <col min="14336" max="14336" width="15.5" style="1" customWidth="1"/>
    <col min="14337" max="14337" width="12.625" style="1" customWidth="1"/>
    <col min="14338" max="14586" width="9" style="1"/>
    <col min="14587" max="14587" width="2.25" style="1" customWidth="1"/>
    <col min="14588" max="14588" width="33.5" style="1" customWidth="1"/>
    <col min="14589" max="14589" width="3.125" style="1" customWidth="1"/>
    <col min="14590" max="14590" width="52.625" style="1" customWidth="1"/>
    <col min="14591" max="14591" width="15.875" style="1" customWidth="1"/>
    <col min="14592" max="14592" width="15.5" style="1" customWidth="1"/>
    <col min="14593" max="14593" width="12.625" style="1" customWidth="1"/>
    <col min="14594" max="14842" width="9" style="1"/>
    <col min="14843" max="14843" width="2.25" style="1" customWidth="1"/>
    <col min="14844" max="14844" width="33.5" style="1" customWidth="1"/>
    <col min="14845" max="14845" width="3.125" style="1" customWidth="1"/>
    <col min="14846" max="14846" width="52.625" style="1" customWidth="1"/>
    <col min="14847" max="14847" width="15.875" style="1" customWidth="1"/>
    <col min="14848" max="14848" width="15.5" style="1" customWidth="1"/>
    <col min="14849" max="14849" width="12.625" style="1" customWidth="1"/>
    <col min="14850" max="15098" width="9" style="1"/>
    <col min="15099" max="15099" width="2.25" style="1" customWidth="1"/>
    <col min="15100" max="15100" width="33.5" style="1" customWidth="1"/>
    <col min="15101" max="15101" width="3.125" style="1" customWidth="1"/>
    <col min="15102" max="15102" width="52.625" style="1" customWidth="1"/>
    <col min="15103" max="15103" width="15.875" style="1" customWidth="1"/>
    <col min="15104" max="15104" width="15.5" style="1" customWidth="1"/>
    <col min="15105" max="15105" width="12.625" style="1" customWidth="1"/>
    <col min="15106" max="15354" width="9" style="1"/>
    <col min="15355" max="15355" width="2.25" style="1" customWidth="1"/>
    <col min="15356" max="15356" width="33.5" style="1" customWidth="1"/>
    <col min="15357" max="15357" width="3.125" style="1" customWidth="1"/>
    <col min="15358" max="15358" width="52.625" style="1" customWidth="1"/>
    <col min="15359" max="15359" width="15.875" style="1" customWidth="1"/>
    <col min="15360" max="15360" width="15.5" style="1" customWidth="1"/>
    <col min="15361" max="15361" width="12.625" style="1" customWidth="1"/>
    <col min="15362" max="15610" width="9" style="1"/>
    <col min="15611" max="15611" width="2.25" style="1" customWidth="1"/>
    <col min="15612" max="15612" width="33.5" style="1" customWidth="1"/>
    <col min="15613" max="15613" width="3.125" style="1" customWidth="1"/>
    <col min="15614" max="15614" width="52.625" style="1" customWidth="1"/>
    <col min="15615" max="15615" width="15.875" style="1" customWidth="1"/>
    <col min="15616" max="15616" width="15.5" style="1" customWidth="1"/>
    <col min="15617" max="15617" width="12.625" style="1" customWidth="1"/>
    <col min="15618" max="15866" width="9" style="1"/>
    <col min="15867" max="15867" width="2.25" style="1" customWidth="1"/>
    <col min="15868" max="15868" width="33.5" style="1" customWidth="1"/>
    <col min="15869" max="15869" width="3.125" style="1" customWidth="1"/>
    <col min="15870" max="15870" width="52.625" style="1" customWidth="1"/>
    <col min="15871" max="15871" width="15.875" style="1" customWidth="1"/>
    <col min="15872" max="15872" width="15.5" style="1" customWidth="1"/>
    <col min="15873" max="15873" width="12.625" style="1" customWidth="1"/>
    <col min="15874" max="16122" width="9" style="1"/>
    <col min="16123" max="16123" width="2.25" style="1" customWidth="1"/>
    <col min="16124" max="16124" width="33.5" style="1" customWidth="1"/>
    <col min="16125" max="16125" width="3.125" style="1" customWidth="1"/>
    <col min="16126" max="16126" width="52.625" style="1" customWidth="1"/>
    <col min="16127" max="16127" width="15.875" style="1" customWidth="1"/>
    <col min="16128" max="16128" width="15.5" style="1" customWidth="1"/>
    <col min="16129" max="16129" width="12.625" style="1" customWidth="1"/>
    <col min="16130" max="16384" width="9" style="1"/>
  </cols>
  <sheetData>
    <row r="1" spans="1:31">
      <c r="AB1" s="2" t="s">
        <v>0</v>
      </c>
    </row>
    <row r="2" spans="1:31" ht="15.7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</row>
    <row r="3" spans="1:31" ht="15.75" customHeight="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7"/>
      <c r="Z3" s="8"/>
      <c r="AA3" s="9"/>
      <c r="AB3" s="9"/>
    </row>
    <row r="4" spans="1:31">
      <c r="B4" s="10"/>
      <c r="C4" s="10"/>
      <c r="D4" s="10"/>
      <c r="E4" s="10"/>
      <c r="F4" s="10"/>
      <c r="G4" s="10"/>
      <c r="H4" s="10"/>
      <c r="I4" s="11"/>
      <c r="J4" s="11"/>
      <c r="K4" s="12"/>
      <c r="N4" s="13"/>
      <c r="O4" s="14"/>
      <c r="P4" s="13"/>
      <c r="Q4" s="13"/>
      <c r="R4" s="15"/>
      <c r="S4" s="13"/>
      <c r="T4" s="16"/>
      <c r="U4" s="11"/>
    </row>
    <row r="5" spans="1:31" ht="15.75" customHeight="1">
      <c r="A5" s="17"/>
      <c r="B5" s="18"/>
      <c r="C5" s="19"/>
      <c r="D5" s="20" t="s">
        <v>3</v>
      </c>
      <c r="E5" s="21" t="s">
        <v>4</v>
      </c>
      <c r="F5" s="22" t="s">
        <v>5</v>
      </c>
      <c r="G5" s="23"/>
      <c r="H5" s="23"/>
      <c r="I5" s="24"/>
      <c r="J5" s="24"/>
      <c r="K5" s="24"/>
      <c r="L5" s="24"/>
      <c r="M5" s="24"/>
      <c r="N5" s="25"/>
      <c r="O5" s="25"/>
      <c r="P5" s="26"/>
      <c r="Q5" s="25"/>
      <c r="R5" s="25"/>
      <c r="S5" s="25"/>
      <c r="T5" s="25"/>
      <c r="U5" s="25"/>
      <c r="V5" s="25"/>
      <c r="W5" s="25"/>
      <c r="X5" s="27"/>
      <c r="Y5" s="28"/>
      <c r="Z5" s="27"/>
      <c r="AA5" s="27"/>
      <c r="AB5" s="29"/>
      <c r="AC5" s="30"/>
    </row>
    <row r="6" spans="1:31" ht="24" customHeight="1" thickBot="1">
      <c r="A6" s="31"/>
      <c r="B6" s="32"/>
      <c r="C6" s="33" t="s">
        <v>6</v>
      </c>
      <c r="D6" s="34"/>
      <c r="E6" s="35"/>
      <c r="F6" s="36"/>
      <c r="G6" s="37"/>
      <c r="H6" s="38"/>
      <c r="I6" s="39" t="s">
        <v>7</v>
      </c>
      <c r="J6" s="40"/>
      <c r="K6" s="40"/>
      <c r="L6" s="41"/>
      <c r="M6" s="42" t="s">
        <v>8</v>
      </c>
      <c r="N6" s="39" t="s">
        <v>9</v>
      </c>
      <c r="O6" s="40"/>
      <c r="P6" s="40"/>
      <c r="Q6" s="41"/>
      <c r="R6" s="43" t="s">
        <v>8</v>
      </c>
      <c r="S6" s="44" t="s">
        <v>10</v>
      </c>
      <c r="T6" s="45"/>
      <c r="U6" s="45"/>
      <c r="V6" s="46"/>
      <c r="W6" s="47" t="s">
        <v>8</v>
      </c>
      <c r="X6" s="21" t="s">
        <v>11</v>
      </c>
      <c r="Y6" s="48" t="s">
        <v>12</v>
      </c>
      <c r="Z6" s="49"/>
      <c r="AA6" s="49"/>
      <c r="AB6" s="50"/>
      <c r="AC6" s="51"/>
      <c r="AD6" s="43" t="s">
        <v>8</v>
      </c>
    </row>
    <row r="7" spans="1:31" ht="45.75" customHeight="1">
      <c r="A7" s="52"/>
      <c r="B7" s="53"/>
      <c r="C7" s="33"/>
      <c r="D7" s="34"/>
      <c r="E7" s="35"/>
      <c r="F7" s="54" t="s">
        <v>13</v>
      </c>
      <c r="G7" s="55" t="s">
        <v>14</v>
      </c>
      <c r="H7" s="55" t="s">
        <v>15</v>
      </c>
      <c r="I7" s="56" t="s">
        <v>16</v>
      </c>
      <c r="J7" s="55" t="s">
        <v>17</v>
      </c>
      <c r="K7" s="55" t="s">
        <v>18</v>
      </c>
      <c r="L7" s="55" t="s">
        <v>19</v>
      </c>
      <c r="M7" s="57"/>
      <c r="N7" s="58" t="s">
        <v>16</v>
      </c>
      <c r="O7" s="55" t="s">
        <v>17</v>
      </c>
      <c r="P7" s="55" t="s">
        <v>18</v>
      </c>
      <c r="Q7" s="55" t="s">
        <v>19</v>
      </c>
      <c r="R7" s="43"/>
      <c r="S7" s="58" t="s">
        <v>16</v>
      </c>
      <c r="T7" s="55" t="s">
        <v>17</v>
      </c>
      <c r="U7" s="55" t="s">
        <v>18</v>
      </c>
      <c r="V7" s="55" t="s">
        <v>19</v>
      </c>
      <c r="W7" s="59"/>
      <c r="X7" s="60"/>
      <c r="Y7" s="61" t="s">
        <v>16</v>
      </c>
      <c r="Z7" s="55" t="s">
        <v>17</v>
      </c>
      <c r="AA7" s="55" t="s">
        <v>18</v>
      </c>
      <c r="AB7" s="55" t="s">
        <v>19</v>
      </c>
      <c r="AC7" s="62"/>
      <c r="AD7" s="43"/>
    </row>
    <row r="8" spans="1:31">
      <c r="A8" s="63">
        <v>1</v>
      </c>
      <c r="B8" s="64"/>
      <c r="C8" s="65">
        <v>2</v>
      </c>
      <c r="D8" s="65">
        <v>3</v>
      </c>
      <c r="E8" s="65">
        <v>4</v>
      </c>
      <c r="F8" s="65">
        <v>5</v>
      </c>
      <c r="G8" s="65">
        <v>6</v>
      </c>
      <c r="H8" s="65">
        <v>7</v>
      </c>
      <c r="I8" s="66">
        <v>10</v>
      </c>
      <c r="J8" s="65">
        <v>11</v>
      </c>
      <c r="K8" s="65">
        <v>12</v>
      </c>
      <c r="L8" s="65">
        <v>13</v>
      </c>
      <c r="M8" s="65"/>
      <c r="N8" s="67">
        <v>10</v>
      </c>
      <c r="O8" s="65">
        <v>11</v>
      </c>
      <c r="P8" s="65">
        <v>12</v>
      </c>
      <c r="Q8" s="65">
        <v>13</v>
      </c>
      <c r="R8" s="65"/>
      <c r="S8" s="67">
        <v>10</v>
      </c>
      <c r="T8" s="65">
        <v>11</v>
      </c>
      <c r="U8" s="65">
        <v>12</v>
      </c>
      <c r="V8" s="65">
        <v>13</v>
      </c>
      <c r="W8" s="65"/>
      <c r="X8" s="65">
        <v>20</v>
      </c>
      <c r="Y8" s="68">
        <v>10</v>
      </c>
      <c r="Z8" s="65">
        <v>11</v>
      </c>
      <c r="AA8" s="65">
        <v>12</v>
      </c>
      <c r="AB8" s="65">
        <v>13</v>
      </c>
      <c r="AC8" s="69"/>
      <c r="AD8" s="65"/>
    </row>
    <row r="9" spans="1:31">
      <c r="A9" s="70">
        <v>1</v>
      </c>
      <c r="B9" s="71">
        <v>1</v>
      </c>
      <c r="C9" s="72" t="s">
        <v>20</v>
      </c>
      <c r="D9" s="72"/>
      <c r="E9" s="72"/>
      <c r="F9" s="73" t="s">
        <v>21</v>
      </c>
      <c r="G9" s="73" t="s">
        <v>22</v>
      </c>
      <c r="H9" s="73" t="s">
        <v>23</v>
      </c>
      <c r="I9" s="74">
        <f>I10+I12+I24+I28</f>
        <v>33335.510580000002</v>
      </c>
      <c r="J9" s="74">
        <f t="shared" ref="J9:L9" si="0">J10+J12+J24+J28</f>
        <v>4768.0695800000003</v>
      </c>
      <c r="K9" s="74">
        <f t="shared" si="0"/>
        <v>28567.441000000003</v>
      </c>
      <c r="L9" s="74">
        <f t="shared" si="0"/>
        <v>0</v>
      </c>
      <c r="M9" s="74"/>
      <c r="N9" s="74">
        <f>N10+N12+N24+N28</f>
        <v>60702.338780000005</v>
      </c>
      <c r="O9" s="74">
        <f t="shared" ref="O9:W9" si="1">O10+O12+O24+O28</f>
        <v>12199.317870000003</v>
      </c>
      <c r="P9" s="74">
        <f t="shared" si="1"/>
        <v>34069.620910000005</v>
      </c>
      <c r="Q9" s="74">
        <f t="shared" si="1"/>
        <v>14433.4</v>
      </c>
      <c r="R9" s="74">
        <f t="shared" si="1"/>
        <v>0</v>
      </c>
      <c r="S9" s="74">
        <f t="shared" si="1"/>
        <v>60444.548630000005</v>
      </c>
      <c r="T9" s="74">
        <f t="shared" si="1"/>
        <v>12141.544870000002</v>
      </c>
      <c r="U9" s="74">
        <f t="shared" si="1"/>
        <v>33968.613530000002</v>
      </c>
      <c r="V9" s="74">
        <f t="shared" si="1"/>
        <v>14334.390230000001</v>
      </c>
      <c r="W9" s="74">
        <f t="shared" si="1"/>
        <v>0</v>
      </c>
      <c r="X9" s="75" t="e">
        <f>(#REF!+#REF!)/(I9+M9)*100</f>
        <v>#REF!</v>
      </c>
      <c r="Y9" s="74">
        <f t="shared" ref="Y9:AB9" si="2">Y10+Y12+Y24+Y28</f>
        <v>257.79014999999868</v>
      </c>
      <c r="Z9" s="74">
        <f t="shared" si="2"/>
        <v>57.772999999999911</v>
      </c>
      <c r="AA9" s="74">
        <f t="shared" si="2"/>
        <v>101.00738000000001</v>
      </c>
      <c r="AB9" s="74">
        <f t="shared" si="2"/>
        <v>99.009769999998753</v>
      </c>
      <c r="AC9" s="76" t="e">
        <f>#REF!/I9*100</f>
        <v>#REF!</v>
      </c>
      <c r="AD9" s="74"/>
      <c r="AE9" s="9"/>
    </row>
    <row r="10" spans="1:31">
      <c r="A10" s="77"/>
      <c r="B10" s="78" t="s">
        <v>24</v>
      </c>
      <c r="C10" s="79" t="s">
        <v>25</v>
      </c>
      <c r="D10" s="80" t="s">
        <v>26</v>
      </c>
      <c r="E10" s="80" t="s">
        <v>27</v>
      </c>
      <c r="F10" s="81" t="s">
        <v>21</v>
      </c>
      <c r="G10" s="81"/>
      <c r="H10" s="81"/>
      <c r="I10" s="82">
        <f t="shared" ref="I10:AB10" si="3">I11</f>
        <v>0</v>
      </c>
      <c r="J10" s="83">
        <f t="shared" si="3"/>
        <v>0</v>
      </c>
      <c r="K10" s="83">
        <f t="shared" si="3"/>
        <v>0</v>
      </c>
      <c r="L10" s="83">
        <f t="shared" si="3"/>
        <v>0</v>
      </c>
      <c r="M10" s="83"/>
      <c r="N10" s="84">
        <f>N11</f>
        <v>0</v>
      </c>
      <c r="O10" s="83">
        <f t="shared" si="3"/>
        <v>0</v>
      </c>
      <c r="P10" s="83">
        <f t="shared" si="3"/>
        <v>0</v>
      </c>
      <c r="Q10" s="83">
        <f t="shared" si="3"/>
        <v>0</v>
      </c>
      <c r="R10" s="83"/>
      <c r="S10" s="84">
        <f t="shared" si="3"/>
        <v>0</v>
      </c>
      <c r="T10" s="83">
        <f t="shared" si="3"/>
        <v>0</v>
      </c>
      <c r="U10" s="83">
        <f t="shared" si="3"/>
        <v>0</v>
      </c>
      <c r="V10" s="83">
        <f t="shared" si="3"/>
        <v>0</v>
      </c>
      <c r="W10" s="83"/>
      <c r="X10" s="85">
        <v>0</v>
      </c>
      <c r="Y10" s="86">
        <f t="shared" si="3"/>
        <v>0</v>
      </c>
      <c r="Z10" s="83">
        <f t="shared" si="3"/>
        <v>0</v>
      </c>
      <c r="AA10" s="83">
        <f t="shared" si="3"/>
        <v>0</v>
      </c>
      <c r="AB10" s="83">
        <f t="shared" si="3"/>
        <v>0</v>
      </c>
      <c r="AC10" s="87"/>
      <c r="AD10" s="83"/>
      <c r="AE10" s="9"/>
    </row>
    <row r="11" spans="1:31" ht="39.75" customHeight="1">
      <c r="A11" s="88"/>
      <c r="B11" s="89"/>
      <c r="C11" s="90"/>
      <c r="D11" s="91"/>
      <c r="E11" s="91"/>
      <c r="F11" s="92" t="s">
        <v>21</v>
      </c>
      <c r="G11" s="93"/>
      <c r="H11" s="93"/>
      <c r="I11" s="94"/>
      <c r="J11" s="95"/>
      <c r="K11" s="95"/>
      <c r="L11" s="95">
        <f>K11-J11</f>
        <v>0</v>
      </c>
      <c r="M11" s="95"/>
      <c r="N11" s="96"/>
      <c r="O11" s="95"/>
      <c r="P11" s="95"/>
      <c r="Q11" s="95"/>
      <c r="R11" s="95"/>
      <c r="S11" s="96"/>
      <c r="T11" s="97"/>
      <c r="U11" s="98"/>
      <c r="V11" s="95"/>
      <c r="W11" s="95"/>
      <c r="X11" s="99"/>
      <c r="Y11" s="100"/>
      <c r="Z11" s="95"/>
      <c r="AA11" s="95"/>
      <c r="AB11" s="95"/>
      <c r="AC11" s="101"/>
      <c r="AD11" s="95"/>
      <c r="AE11" s="9"/>
    </row>
    <row r="12" spans="1:31">
      <c r="A12" s="88"/>
      <c r="B12" s="78" t="s">
        <v>28</v>
      </c>
      <c r="C12" s="102" t="s">
        <v>29</v>
      </c>
      <c r="D12" s="80" t="s">
        <v>30</v>
      </c>
      <c r="E12" s="80" t="s">
        <v>27</v>
      </c>
      <c r="F12" s="81" t="s">
        <v>21</v>
      </c>
      <c r="G12" s="81"/>
      <c r="H12" s="81"/>
      <c r="I12" s="82">
        <f>SUM(I13:I23)</f>
        <v>31835.510580000002</v>
      </c>
      <c r="J12" s="83">
        <f>SUM(J13:J23)</f>
        <v>3268.0695800000003</v>
      </c>
      <c r="K12" s="83">
        <f t="shared" ref="K12:L12" si="4">SUM(K13:K23)</f>
        <v>28567.441000000003</v>
      </c>
      <c r="L12" s="83">
        <f t="shared" si="4"/>
        <v>0</v>
      </c>
      <c r="M12" s="83"/>
      <c r="N12" s="84">
        <f>SUM(N13:N23)</f>
        <v>44311.436780000004</v>
      </c>
      <c r="O12" s="83">
        <f>SUM(O13:O23)</f>
        <v>10737.670870000002</v>
      </c>
      <c r="P12" s="83">
        <f t="shared" ref="P12:R12" si="5">SUM(P13:P23)</f>
        <v>33573.765910000002</v>
      </c>
      <c r="Q12" s="83">
        <f t="shared" si="5"/>
        <v>0</v>
      </c>
      <c r="R12" s="83">
        <f t="shared" si="5"/>
        <v>0</v>
      </c>
      <c r="S12" s="84">
        <f>SUM(S13:S23)</f>
        <v>44211.436700000006</v>
      </c>
      <c r="T12" s="83">
        <f>SUM(T13:T23)</f>
        <v>10737.670870000002</v>
      </c>
      <c r="U12" s="83">
        <f t="shared" ref="U12:W12" si="6">SUM(U13:U23)</f>
        <v>33473.765830000004</v>
      </c>
      <c r="V12" s="83">
        <f t="shared" si="6"/>
        <v>0</v>
      </c>
      <c r="W12" s="83">
        <f t="shared" si="6"/>
        <v>0</v>
      </c>
      <c r="X12" s="85" t="e">
        <f>(#REF!+#REF!)/(I12+M12)*100</f>
        <v>#REF!</v>
      </c>
      <c r="Y12" s="86">
        <f>SUM(Y13:Y23)</f>
        <v>100.00008</v>
      </c>
      <c r="Z12" s="83">
        <f>SUM(Z13:Z23)</f>
        <v>0</v>
      </c>
      <c r="AA12" s="83">
        <f t="shared" ref="AA12:AB12" si="7">SUM(AA13:AA23)</f>
        <v>100.00008</v>
      </c>
      <c r="AB12" s="83">
        <f t="shared" si="7"/>
        <v>0</v>
      </c>
      <c r="AC12" s="87"/>
      <c r="AD12" s="83"/>
      <c r="AE12" s="9"/>
    </row>
    <row r="13" spans="1:31">
      <c r="A13" s="88"/>
      <c r="B13" s="103"/>
      <c r="C13" s="104"/>
      <c r="D13" s="105"/>
      <c r="E13" s="105"/>
      <c r="F13" s="92" t="s">
        <v>21</v>
      </c>
      <c r="G13" s="92" t="s">
        <v>31</v>
      </c>
      <c r="H13" s="92" t="s">
        <v>23</v>
      </c>
      <c r="I13" s="106">
        <f>J13+K13+L13</f>
        <v>797.79957999999999</v>
      </c>
      <c r="J13" s="97">
        <f>296.63358+264.256+236.91</f>
        <v>797.79957999999999</v>
      </c>
      <c r="K13" s="98"/>
      <c r="L13" s="98"/>
      <c r="M13" s="98"/>
      <c r="N13" s="107">
        <f>O13+P13+Q13</f>
        <v>4408.7338399999999</v>
      </c>
      <c r="O13" s="97">
        <v>4408.7338399999999</v>
      </c>
      <c r="P13" s="98"/>
      <c r="Q13" s="98"/>
      <c r="R13" s="98"/>
      <c r="S13" s="107">
        <f>T13+U13+V13</f>
        <v>4408.7338399999999</v>
      </c>
      <c r="T13" s="97">
        <v>4408.7338399999999</v>
      </c>
      <c r="U13" s="97"/>
      <c r="V13" s="97"/>
      <c r="W13" s="108"/>
      <c r="X13" s="99" t="e">
        <f>(#REF!+#REF!)/(I13+M13)*100</f>
        <v>#REF!</v>
      </c>
      <c r="Y13" s="109">
        <f>Z13+AA13+AB13</f>
        <v>0</v>
      </c>
      <c r="Z13" s="97">
        <f>O13-T13</f>
        <v>0</v>
      </c>
      <c r="AA13" s="97">
        <f t="shared" ref="AA13:AB23" si="8">P13-U13</f>
        <v>0</v>
      </c>
      <c r="AB13" s="97">
        <f t="shared" si="8"/>
        <v>0</v>
      </c>
      <c r="AC13" s="110"/>
      <c r="AD13" s="108"/>
      <c r="AE13" s="9"/>
    </row>
    <row r="14" spans="1:31">
      <c r="A14" s="88"/>
      <c r="B14" s="103"/>
      <c r="C14" s="104"/>
      <c r="D14" s="105"/>
      <c r="E14" s="105"/>
      <c r="F14" s="92" t="s">
        <v>21</v>
      </c>
      <c r="G14" s="92" t="s">
        <v>32</v>
      </c>
      <c r="H14" s="92" t="s">
        <v>23</v>
      </c>
      <c r="I14" s="106">
        <f>J14+K14+L14</f>
        <v>1473.8030000000001</v>
      </c>
      <c r="J14" s="97">
        <v>1473.8030000000001</v>
      </c>
      <c r="K14" s="98"/>
      <c r="L14" s="98"/>
      <c r="M14" s="98"/>
      <c r="N14" s="107">
        <f>O14+P14+Q14</f>
        <v>2979.1333199999999</v>
      </c>
      <c r="O14" s="97">
        <v>2979.1333199999999</v>
      </c>
      <c r="P14" s="98"/>
      <c r="Q14" s="98"/>
      <c r="R14" s="98"/>
      <c r="S14" s="107">
        <f>T14+U14+V14</f>
        <v>2979.1333199999999</v>
      </c>
      <c r="T14" s="97">
        <v>2979.1333199999999</v>
      </c>
      <c r="U14" s="97"/>
      <c r="V14" s="97"/>
      <c r="W14" s="108"/>
      <c r="X14" s="99" t="e">
        <f>(#REF!+#REF!)/(I14+M14)*100</f>
        <v>#REF!</v>
      </c>
      <c r="Y14" s="109">
        <f t="shared" ref="Y14:Y28" si="9">Z14+AA14+AB14</f>
        <v>0</v>
      </c>
      <c r="Z14" s="97">
        <f t="shared" ref="Z14:Z23" si="10">O14-T14</f>
        <v>0</v>
      </c>
      <c r="AA14" s="97">
        <f t="shared" si="8"/>
        <v>0</v>
      </c>
      <c r="AB14" s="97">
        <f t="shared" si="8"/>
        <v>0</v>
      </c>
      <c r="AC14" s="110"/>
      <c r="AD14" s="108"/>
      <c r="AE14" s="9"/>
    </row>
    <row r="15" spans="1:31">
      <c r="A15" s="88"/>
      <c r="B15" s="103"/>
      <c r="C15" s="104"/>
      <c r="D15" s="105"/>
      <c r="E15" s="105"/>
      <c r="F15" s="92" t="s">
        <v>21</v>
      </c>
      <c r="G15" s="92" t="s">
        <v>33</v>
      </c>
      <c r="H15" s="92" t="s">
        <v>23</v>
      </c>
      <c r="I15" s="106">
        <f t="shared" ref="I15:I23" si="11">J15+K15+L15</f>
        <v>996.46699999999998</v>
      </c>
      <c r="J15" s="97">
        <v>996.46699999999998</v>
      </c>
      <c r="K15" s="98"/>
      <c r="L15" s="98"/>
      <c r="M15" s="98"/>
      <c r="N15" s="107">
        <f t="shared" ref="N15:N23" si="12">O15+P15+Q15</f>
        <v>2317.0439700000002</v>
      </c>
      <c r="O15" s="97">
        <v>2317.0439700000002</v>
      </c>
      <c r="P15" s="98"/>
      <c r="Q15" s="98"/>
      <c r="R15" s="98"/>
      <c r="S15" s="107">
        <f t="shared" ref="S15:S23" si="13">T15+U15+V15</f>
        <v>2317.0439700000002</v>
      </c>
      <c r="T15" s="97">
        <v>2317.0439700000002</v>
      </c>
      <c r="U15" s="97"/>
      <c r="V15" s="97"/>
      <c r="W15" s="108"/>
      <c r="X15" s="99" t="e">
        <f>(#REF!+#REF!)/(I15+M15)*100</f>
        <v>#REF!</v>
      </c>
      <c r="Y15" s="109">
        <f t="shared" si="9"/>
        <v>0</v>
      </c>
      <c r="Z15" s="97">
        <f t="shared" si="10"/>
        <v>0</v>
      </c>
      <c r="AA15" s="97">
        <f t="shared" si="8"/>
        <v>0</v>
      </c>
      <c r="AB15" s="97">
        <f t="shared" si="8"/>
        <v>0</v>
      </c>
      <c r="AC15" s="110"/>
      <c r="AD15" s="108"/>
      <c r="AE15" s="9"/>
    </row>
    <row r="16" spans="1:31">
      <c r="A16" s="88"/>
      <c r="B16" s="103"/>
      <c r="C16" s="104"/>
      <c r="D16" s="105"/>
      <c r="E16" s="105"/>
      <c r="F16" s="92" t="s">
        <v>21</v>
      </c>
      <c r="G16" s="92" t="s">
        <v>34</v>
      </c>
      <c r="H16" s="92" t="s">
        <v>23</v>
      </c>
      <c r="I16" s="106">
        <f t="shared" si="11"/>
        <v>0</v>
      </c>
      <c r="J16" s="97"/>
      <c r="K16" s="98"/>
      <c r="L16" s="98"/>
      <c r="M16" s="98"/>
      <c r="N16" s="107">
        <f t="shared" si="12"/>
        <v>988.39974000000007</v>
      </c>
      <c r="O16" s="97">
        <f>75.365+543.22464+369.8101</f>
        <v>988.39974000000007</v>
      </c>
      <c r="P16" s="98"/>
      <c r="Q16" s="98"/>
      <c r="R16" s="98"/>
      <c r="S16" s="107">
        <f t="shared" si="13"/>
        <v>988.39974000000007</v>
      </c>
      <c r="T16" s="97">
        <f>75.365+543.22464+369.8101</f>
        <v>988.39974000000007</v>
      </c>
      <c r="U16" s="97"/>
      <c r="V16" s="97"/>
      <c r="W16" s="108"/>
      <c r="X16" s="99" t="e">
        <f>(#REF!+#REF!)/(I16+M16)*100</f>
        <v>#REF!</v>
      </c>
      <c r="Y16" s="109">
        <f t="shared" si="9"/>
        <v>0</v>
      </c>
      <c r="Z16" s="97">
        <f t="shared" si="10"/>
        <v>0</v>
      </c>
      <c r="AA16" s="97">
        <f t="shared" si="8"/>
        <v>0</v>
      </c>
      <c r="AB16" s="97">
        <f t="shared" si="8"/>
        <v>0</v>
      </c>
      <c r="AC16" s="110"/>
      <c r="AD16" s="108"/>
      <c r="AE16" s="9"/>
    </row>
    <row r="17" spans="1:31">
      <c r="A17" s="88"/>
      <c r="B17" s="103"/>
      <c r="C17" s="104"/>
      <c r="D17" s="105"/>
      <c r="E17" s="105"/>
      <c r="F17" s="92" t="s">
        <v>21</v>
      </c>
      <c r="G17" s="92" t="s">
        <v>35</v>
      </c>
      <c r="H17" s="92" t="s">
        <v>23</v>
      </c>
      <c r="I17" s="106">
        <f t="shared" si="11"/>
        <v>3712.3090000000002</v>
      </c>
      <c r="J17" s="97"/>
      <c r="K17" s="97">
        <f>485.117+466.241+403.95+1381.104+975.897</f>
        <v>3712.3090000000002</v>
      </c>
      <c r="L17" s="98"/>
      <c r="M17" s="98"/>
      <c r="N17" s="107">
        <f t="shared" si="12"/>
        <v>3712.3090000000002</v>
      </c>
      <c r="O17" s="97"/>
      <c r="P17" s="97">
        <v>3712.3090000000002</v>
      </c>
      <c r="Q17" s="98"/>
      <c r="R17" s="98"/>
      <c r="S17" s="107">
        <f t="shared" si="13"/>
        <v>3712.3090000000002</v>
      </c>
      <c r="T17" s="97"/>
      <c r="U17" s="97">
        <v>3712.3090000000002</v>
      </c>
      <c r="V17" s="97"/>
      <c r="W17" s="108"/>
      <c r="X17" s="99" t="e">
        <f>(#REF!+#REF!)/(I17+M17)*100</f>
        <v>#REF!</v>
      </c>
      <c r="Y17" s="109">
        <f t="shared" si="9"/>
        <v>0</v>
      </c>
      <c r="Z17" s="97">
        <f t="shared" si="10"/>
        <v>0</v>
      </c>
      <c r="AA17" s="97">
        <f t="shared" si="8"/>
        <v>0</v>
      </c>
      <c r="AB17" s="97">
        <f t="shared" si="8"/>
        <v>0</v>
      </c>
      <c r="AC17" s="110"/>
      <c r="AD17" s="108"/>
      <c r="AE17" s="9"/>
    </row>
    <row r="18" spans="1:31">
      <c r="A18" s="88"/>
      <c r="B18" s="103"/>
      <c r="C18" s="104"/>
      <c r="D18" s="105"/>
      <c r="E18" s="105"/>
      <c r="F18" s="92" t="s">
        <v>21</v>
      </c>
      <c r="G18" s="92" t="s">
        <v>36</v>
      </c>
      <c r="H18" s="92" t="s">
        <v>23</v>
      </c>
      <c r="I18" s="106">
        <f t="shared" si="11"/>
        <v>3228.5169999999998</v>
      </c>
      <c r="J18" s="97"/>
      <c r="K18" s="97">
        <f>412.66+396.47+347.922+1237.965+833.5</f>
        <v>3228.5169999999998</v>
      </c>
      <c r="L18" s="98"/>
      <c r="M18" s="98"/>
      <c r="N18" s="107">
        <f t="shared" si="12"/>
        <v>3228.5169999999998</v>
      </c>
      <c r="O18" s="97"/>
      <c r="P18" s="97">
        <f>412.66+396.47+347.922+1237.965+833.5</f>
        <v>3228.5169999999998</v>
      </c>
      <c r="Q18" s="98"/>
      <c r="R18" s="98"/>
      <c r="S18" s="107">
        <f t="shared" si="13"/>
        <v>3228.5169999999998</v>
      </c>
      <c r="T18" s="97"/>
      <c r="U18" s="97">
        <v>3228.5169999999998</v>
      </c>
      <c r="V18" s="97"/>
      <c r="W18" s="108"/>
      <c r="X18" s="99" t="e">
        <f>(#REF!+#REF!)/(I18+M18)*100</f>
        <v>#REF!</v>
      </c>
      <c r="Y18" s="109">
        <f t="shared" si="9"/>
        <v>0</v>
      </c>
      <c r="Z18" s="97">
        <f t="shared" si="10"/>
        <v>0</v>
      </c>
      <c r="AA18" s="97">
        <f t="shared" si="8"/>
        <v>0</v>
      </c>
      <c r="AB18" s="97">
        <f t="shared" si="8"/>
        <v>0</v>
      </c>
      <c r="AC18" s="110"/>
      <c r="AD18" s="108"/>
      <c r="AE18" s="9"/>
    </row>
    <row r="19" spans="1:31">
      <c r="A19" s="88"/>
      <c r="B19" s="103"/>
      <c r="C19" s="104"/>
      <c r="D19" s="105"/>
      <c r="E19" s="105"/>
      <c r="F19" s="92" t="s">
        <v>21</v>
      </c>
      <c r="G19" s="92" t="s">
        <v>37</v>
      </c>
      <c r="H19" s="92" t="s">
        <v>23</v>
      </c>
      <c r="I19" s="106">
        <f t="shared" si="11"/>
        <v>21125.953000000001</v>
      </c>
      <c r="J19" s="111"/>
      <c r="K19" s="97">
        <f>2026.993+2550.135+2496.7+9275.5+4776.625</f>
        <v>21125.953000000001</v>
      </c>
      <c r="L19" s="98"/>
      <c r="M19" s="98"/>
      <c r="N19" s="107">
        <f t="shared" si="12"/>
        <v>22722.341</v>
      </c>
      <c r="O19" s="111"/>
      <c r="P19" s="97">
        <v>22722.341</v>
      </c>
      <c r="Q19" s="98"/>
      <c r="R19" s="98"/>
      <c r="S19" s="107">
        <f t="shared" si="13"/>
        <v>22722.341</v>
      </c>
      <c r="T19" s="97"/>
      <c r="U19" s="97">
        <v>22722.341</v>
      </c>
      <c r="V19" s="97"/>
      <c r="W19" s="108"/>
      <c r="X19" s="99" t="e">
        <f>(#REF!+#REF!)/(I19+M19)*100</f>
        <v>#REF!</v>
      </c>
      <c r="Y19" s="109">
        <f t="shared" si="9"/>
        <v>0</v>
      </c>
      <c r="Z19" s="97">
        <f t="shared" si="10"/>
        <v>0</v>
      </c>
      <c r="AA19" s="97">
        <f t="shared" si="8"/>
        <v>0</v>
      </c>
      <c r="AB19" s="97">
        <f t="shared" si="8"/>
        <v>0</v>
      </c>
      <c r="AC19" s="110"/>
      <c r="AD19" s="108"/>
      <c r="AE19" s="9"/>
    </row>
    <row r="20" spans="1:31">
      <c r="A20" s="88"/>
      <c r="B20" s="103"/>
      <c r="C20" s="104"/>
      <c r="D20" s="105"/>
      <c r="E20" s="105"/>
      <c r="F20" s="92" t="s">
        <v>21</v>
      </c>
      <c r="G20" s="92" t="s">
        <v>38</v>
      </c>
      <c r="H20" s="92" t="s">
        <v>23</v>
      </c>
      <c r="I20" s="106">
        <f t="shared" si="11"/>
        <v>0</v>
      </c>
      <c r="J20" s="111"/>
      <c r="K20" s="97"/>
      <c r="L20" s="98"/>
      <c r="M20" s="98"/>
      <c r="N20" s="107">
        <f t="shared" si="12"/>
        <v>2798.9169999999999</v>
      </c>
      <c r="O20" s="111">
        <f>10.812+13.548</f>
        <v>24.36</v>
      </c>
      <c r="P20" s="97">
        <v>2774.5569999999998</v>
      </c>
      <c r="Q20" s="98"/>
      <c r="R20" s="98"/>
      <c r="S20" s="107">
        <f t="shared" si="13"/>
        <v>2798.9169999999999</v>
      </c>
      <c r="T20" s="111">
        <f>10.812+13.548</f>
        <v>24.36</v>
      </c>
      <c r="U20" s="97">
        <v>2774.5569999999998</v>
      </c>
      <c r="V20" s="97"/>
      <c r="W20" s="108"/>
      <c r="X20" s="99" t="e">
        <f>(#REF!+#REF!)/(I20+M20)*100</f>
        <v>#REF!</v>
      </c>
      <c r="Y20" s="109">
        <f t="shared" si="9"/>
        <v>0</v>
      </c>
      <c r="Z20" s="97">
        <f t="shared" si="10"/>
        <v>0</v>
      </c>
      <c r="AA20" s="97">
        <f t="shared" si="8"/>
        <v>0</v>
      </c>
      <c r="AB20" s="97">
        <f t="shared" si="8"/>
        <v>0</v>
      </c>
      <c r="AC20" s="110"/>
      <c r="AD20" s="108"/>
      <c r="AE20" s="9"/>
    </row>
    <row r="21" spans="1:31">
      <c r="A21" s="88"/>
      <c r="B21" s="103"/>
      <c r="C21" s="104"/>
      <c r="D21" s="105"/>
      <c r="E21" s="105"/>
      <c r="F21" s="92" t="s">
        <v>21</v>
      </c>
      <c r="G21" s="92" t="s">
        <v>39</v>
      </c>
      <c r="H21" s="92" t="s">
        <v>23</v>
      </c>
      <c r="I21" s="106">
        <f t="shared" si="11"/>
        <v>500.66199999999998</v>
      </c>
      <c r="J21" s="111"/>
      <c r="K21" s="97">
        <v>500.66199999999998</v>
      </c>
      <c r="L21" s="98"/>
      <c r="M21" s="98"/>
      <c r="N21" s="107">
        <f t="shared" si="12"/>
        <v>1021.87883</v>
      </c>
      <c r="O21" s="111"/>
      <c r="P21" s="97">
        <v>1021.87883</v>
      </c>
      <c r="Q21" s="98"/>
      <c r="R21" s="98"/>
      <c r="S21" s="107">
        <f t="shared" si="13"/>
        <v>921.87882999999999</v>
      </c>
      <c r="T21" s="97"/>
      <c r="U21" s="97">
        <v>921.87882999999999</v>
      </c>
      <c r="V21" s="97"/>
      <c r="W21" s="108"/>
      <c r="X21" s="99" t="e">
        <f>(#REF!+#REF!)/(I21+M21)*100</f>
        <v>#REF!</v>
      </c>
      <c r="Y21" s="109">
        <f t="shared" si="9"/>
        <v>100</v>
      </c>
      <c r="Z21" s="97">
        <f t="shared" si="10"/>
        <v>0</v>
      </c>
      <c r="AA21" s="97">
        <f t="shared" si="8"/>
        <v>100</v>
      </c>
      <c r="AB21" s="97">
        <f t="shared" si="8"/>
        <v>0</v>
      </c>
      <c r="AC21" s="110"/>
      <c r="AD21" s="108"/>
      <c r="AE21" s="9"/>
    </row>
    <row r="22" spans="1:31">
      <c r="A22" s="88"/>
      <c r="B22" s="103"/>
      <c r="C22" s="104"/>
      <c r="D22" s="105"/>
      <c r="E22" s="105"/>
      <c r="F22" s="92" t="s">
        <v>21</v>
      </c>
      <c r="G22" s="92" t="s">
        <v>40</v>
      </c>
      <c r="H22" s="92" t="s">
        <v>23</v>
      </c>
      <c r="I22" s="106">
        <f t="shared" si="11"/>
        <v>0</v>
      </c>
      <c r="J22" s="97"/>
      <c r="K22" s="98"/>
      <c r="L22" s="98"/>
      <c r="M22" s="98"/>
      <c r="N22" s="107">
        <f t="shared" si="12"/>
        <v>114.16307999999999</v>
      </c>
      <c r="O22" s="97"/>
      <c r="P22" s="98">
        <v>114.16307999999999</v>
      </c>
      <c r="Q22" s="98"/>
      <c r="R22" s="98"/>
      <c r="S22" s="107">
        <f t="shared" si="13"/>
        <v>114.163</v>
      </c>
      <c r="T22" s="97"/>
      <c r="U22" s="97">
        <v>114.163</v>
      </c>
      <c r="V22" s="97"/>
      <c r="W22" s="108"/>
      <c r="X22" s="99">
        <v>0</v>
      </c>
      <c r="Y22" s="109">
        <f t="shared" si="9"/>
        <v>7.9999999996971383E-5</v>
      </c>
      <c r="Z22" s="97">
        <f t="shared" si="10"/>
        <v>0</v>
      </c>
      <c r="AA22" s="97">
        <f t="shared" si="8"/>
        <v>7.9999999996971383E-5</v>
      </c>
      <c r="AB22" s="97">
        <f t="shared" si="8"/>
        <v>0</v>
      </c>
      <c r="AC22" s="110"/>
      <c r="AD22" s="108"/>
      <c r="AE22" s="9"/>
    </row>
    <row r="23" spans="1:31">
      <c r="A23" s="88"/>
      <c r="B23" s="89"/>
      <c r="C23" s="112"/>
      <c r="D23" s="91"/>
      <c r="E23" s="91"/>
      <c r="F23" s="92" t="s">
        <v>21</v>
      </c>
      <c r="G23" s="92" t="s">
        <v>41</v>
      </c>
      <c r="H23" s="92" t="s">
        <v>23</v>
      </c>
      <c r="I23" s="106">
        <f t="shared" si="11"/>
        <v>0</v>
      </c>
      <c r="J23" s="97"/>
      <c r="K23" s="98"/>
      <c r="L23" s="98"/>
      <c r="M23" s="98"/>
      <c r="N23" s="107">
        <f t="shared" si="12"/>
        <v>20</v>
      </c>
      <c r="O23" s="97">
        <v>20</v>
      </c>
      <c r="P23" s="98"/>
      <c r="Q23" s="98"/>
      <c r="R23" s="98"/>
      <c r="S23" s="107">
        <f t="shared" si="13"/>
        <v>20</v>
      </c>
      <c r="T23" s="97">
        <v>20</v>
      </c>
      <c r="U23" s="97"/>
      <c r="V23" s="97"/>
      <c r="W23" s="108"/>
      <c r="X23" s="99">
        <v>0</v>
      </c>
      <c r="Y23" s="109">
        <f t="shared" si="9"/>
        <v>0</v>
      </c>
      <c r="Z23" s="97">
        <f t="shared" si="10"/>
        <v>0</v>
      </c>
      <c r="AA23" s="97">
        <f t="shared" si="8"/>
        <v>0</v>
      </c>
      <c r="AB23" s="97">
        <f t="shared" si="8"/>
        <v>0</v>
      </c>
      <c r="AC23" s="110"/>
      <c r="AD23" s="108"/>
      <c r="AE23" s="9"/>
    </row>
    <row r="24" spans="1:31">
      <c r="A24" s="88"/>
      <c r="B24" s="78" t="s">
        <v>42</v>
      </c>
      <c r="C24" s="79" t="s">
        <v>43</v>
      </c>
      <c r="D24" s="113"/>
      <c r="E24" s="113"/>
      <c r="F24" s="81" t="s">
        <v>21</v>
      </c>
      <c r="G24" s="81"/>
      <c r="H24" s="81"/>
      <c r="I24" s="82">
        <f>SUM(I25:I27)</f>
        <v>1500</v>
      </c>
      <c r="J24" s="83">
        <f>SUM(J25:J27)</f>
        <v>1500</v>
      </c>
      <c r="K24" s="83">
        <f t="shared" ref="K24:M24" si="14">SUM(K25:K27)</f>
        <v>0</v>
      </c>
      <c r="L24" s="83">
        <f t="shared" si="14"/>
        <v>0</v>
      </c>
      <c r="M24" s="83">
        <f t="shared" si="14"/>
        <v>0</v>
      </c>
      <c r="N24" s="84">
        <f>SUM(N25:N27)</f>
        <v>16390.901999999998</v>
      </c>
      <c r="O24" s="83">
        <f>SUM(O25:O27)</f>
        <v>1461.6469999999999</v>
      </c>
      <c r="P24" s="83">
        <f t="shared" ref="P24:R24" si="15">SUM(P25:P27)</f>
        <v>495.85500000000002</v>
      </c>
      <c r="Q24" s="83">
        <f t="shared" si="15"/>
        <v>14433.4</v>
      </c>
      <c r="R24" s="83">
        <f t="shared" si="15"/>
        <v>0</v>
      </c>
      <c r="S24" s="84">
        <f>SUM(S25:S27)</f>
        <v>16233.111930000001</v>
      </c>
      <c r="T24" s="83">
        <f t="shared" ref="T24:W24" si="16">SUM(T25:T27)</f>
        <v>1403.874</v>
      </c>
      <c r="U24" s="83">
        <f t="shared" si="16"/>
        <v>494.84770000000003</v>
      </c>
      <c r="V24" s="83">
        <f t="shared" si="16"/>
        <v>14334.390230000001</v>
      </c>
      <c r="W24" s="83">
        <f t="shared" si="16"/>
        <v>0</v>
      </c>
      <c r="X24" s="85" t="e">
        <f>(#REF!+#REF!)/(I24+M24)*100</f>
        <v>#REF!</v>
      </c>
      <c r="Y24" s="109">
        <f>Z24+AA24+AB24</f>
        <v>157.79006999999868</v>
      </c>
      <c r="Z24" s="83">
        <f t="shared" ref="Z24" si="17">SUM(Z25:Z27)</f>
        <v>57.772999999999911</v>
      </c>
      <c r="AA24" s="83">
        <f t="shared" ref="AA24:AB24" si="18">SUM(AA25:AA27)</f>
        <v>1.007300000000015</v>
      </c>
      <c r="AB24" s="83">
        <f t="shared" si="18"/>
        <v>99.009769999998753</v>
      </c>
      <c r="AC24" s="110"/>
      <c r="AD24" s="108"/>
      <c r="AE24" s="9"/>
    </row>
    <row r="25" spans="1:31" ht="23.25" customHeight="1">
      <c r="A25" s="88"/>
      <c r="B25" s="103"/>
      <c r="C25" s="114"/>
      <c r="D25" s="113"/>
      <c r="E25" s="113"/>
      <c r="F25" s="93" t="s">
        <v>21</v>
      </c>
      <c r="G25" s="115" t="s">
        <v>44</v>
      </c>
      <c r="H25" s="93" t="s">
        <v>23</v>
      </c>
      <c r="I25" s="106">
        <f>J25+K25+L25</f>
        <v>1500</v>
      </c>
      <c r="J25" s="116">
        <v>1500</v>
      </c>
      <c r="K25" s="117"/>
      <c r="L25" s="117"/>
      <c r="M25" s="117"/>
      <c r="N25" s="107">
        <f>O25+P25+Q25</f>
        <v>1422.751</v>
      </c>
      <c r="O25" s="116">
        <v>1422.751</v>
      </c>
      <c r="P25" s="117"/>
      <c r="Q25" s="117"/>
      <c r="R25" s="95"/>
      <c r="S25" s="107">
        <f>T25+U25+V25</f>
        <v>1364.9780000000001</v>
      </c>
      <c r="T25" s="97">
        <v>1364.9780000000001</v>
      </c>
      <c r="U25" s="97"/>
      <c r="V25" s="97"/>
      <c r="W25" s="95"/>
      <c r="X25" s="99" t="e">
        <f>(#REF!+#REF!)/(I25+M25)*100</f>
        <v>#REF!</v>
      </c>
      <c r="Y25" s="109">
        <f t="shared" ref="Y25:Y26" si="19">Z25+AA25+AB25</f>
        <v>57.772999999999911</v>
      </c>
      <c r="Z25" s="97">
        <f t="shared" ref="Z25:AB27" si="20">O25-T25</f>
        <v>57.772999999999911</v>
      </c>
      <c r="AA25" s="97">
        <f t="shared" si="20"/>
        <v>0</v>
      </c>
      <c r="AB25" s="97">
        <f t="shared" si="20"/>
        <v>0</v>
      </c>
      <c r="AC25" s="110"/>
      <c r="AD25" s="108"/>
      <c r="AE25" s="9"/>
    </row>
    <row r="26" spans="1:31" ht="23.25" customHeight="1">
      <c r="A26" s="88"/>
      <c r="B26" s="103"/>
      <c r="C26" s="114"/>
      <c r="D26" s="113"/>
      <c r="E26" s="113"/>
      <c r="F26" s="93" t="s">
        <v>21</v>
      </c>
      <c r="G26" s="115" t="s">
        <v>45</v>
      </c>
      <c r="H26" s="93" t="s">
        <v>23</v>
      </c>
      <c r="I26" s="106">
        <f>J26+K26+L26</f>
        <v>0</v>
      </c>
      <c r="J26" s="116"/>
      <c r="K26" s="117"/>
      <c r="L26" s="117"/>
      <c r="M26" s="117"/>
      <c r="N26" s="107">
        <f>O26+P26+Q26</f>
        <v>388.95100000000002</v>
      </c>
      <c r="O26" s="116">
        <v>38.896000000000001</v>
      </c>
      <c r="P26" s="117">
        <v>350.05500000000001</v>
      </c>
      <c r="Q26" s="117"/>
      <c r="R26" s="95"/>
      <c r="S26" s="107">
        <f>T26+U26+V26</f>
        <v>388.95100000000002</v>
      </c>
      <c r="T26" s="97">
        <v>38.896000000000001</v>
      </c>
      <c r="U26" s="97">
        <v>350.05500000000001</v>
      </c>
      <c r="V26" s="97"/>
      <c r="W26" s="95"/>
      <c r="X26" s="99" t="e">
        <f>(#REF!+#REF!)/(I26+M26)*100</f>
        <v>#REF!</v>
      </c>
      <c r="Y26" s="109">
        <f t="shared" si="19"/>
        <v>0</v>
      </c>
      <c r="Z26" s="97">
        <f t="shared" si="20"/>
        <v>0</v>
      </c>
      <c r="AA26" s="97">
        <f t="shared" si="20"/>
        <v>0</v>
      </c>
      <c r="AB26" s="97">
        <f t="shared" si="20"/>
        <v>0</v>
      </c>
      <c r="AC26" s="110"/>
      <c r="AD26" s="108"/>
      <c r="AE26" s="9"/>
    </row>
    <row r="27" spans="1:31" ht="24.75" customHeight="1">
      <c r="A27" s="88"/>
      <c r="B27" s="89"/>
      <c r="C27" s="90"/>
      <c r="D27" s="118"/>
      <c r="E27" s="119"/>
      <c r="F27" s="93" t="s">
        <v>21</v>
      </c>
      <c r="G27" s="115" t="s">
        <v>46</v>
      </c>
      <c r="H27" s="93" t="s">
        <v>23</v>
      </c>
      <c r="I27" s="106">
        <f>J27+K27+L27</f>
        <v>0</v>
      </c>
      <c r="J27" s="116"/>
      <c r="K27" s="117"/>
      <c r="L27" s="117"/>
      <c r="M27" s="117"/>
      <c r="N27" s="107">
        <f>O27+P27+Q27</f>
        <v>14579.199999999999</v>
      </c>
      <c r="O27" s="116"/>
      <c r="P27" s="117">
        <v>145.80000000000001</v>
      </c>
      <c r="Q27" s="117">
        <v>14433.4</v>
      </c>
      <c r="R27" s="95"/>
      <c r="S27" s="107">
        <f>T27+U27+V27</f>
        <v>14479.182930000001</v>
      </c>
      <c r="T27" s="97"/>
      <c r="U27" s="97">
        <v>144.7927</v>
      </c>
      <c r="V27" s="97">
        <v>14334.390230000001</v>
      </c>
      <c r="W27" s="95"/>
      <c r="X27" s="99" t="e">
        <f>(#REF!+#REF!)/(I27+M27)*100</f>
        <v>#REF!</v>
      </c>
      <c r="Y27" s="109">
        <f t="shared" si="9"/>
        <v>100.01706999999877</v>
      </c>
      <c r="Z27" s="97">
        <f t="shared" si="20"/>
        <v>0</v>
      </c>
      <c r="AA27" s="97">
        <f t="shared" si="20"/>
        <v>1.007300000000015</v>
      </c>
      <c r="AB27" s="97">
        <f t="shared" si="20"/>
        <v>99.009769999998753</v>
      </c>
      <c r="AC27" s="110"/>
      <c r="AD27" s="95"/>
      <c r="AE27" s="9"/>
    </row>
    <row r="28" spans="1:31" ht="15.75" customHeight="1">
      <c r="A28" s="88"/>
      <c r="B28" s="78" t="s">
        <v>47</v>
      </c>
      <c r="C28" s="79" t="s">
        <v>48</v>
      </c>
      <c r="D28" s="113"/>
      <c r="E28" s="113"/>
      <c r="F28" s="81" t="s">
        <v>21</v>
      </c>
      <c r="G28" s="81"/>
      <c r="H28" s="81"/>
      <c r="I28" s="82">
        <f t="shared" ref="I28:W28" si="21">SUM(I29)</f>
        <v>0</v>
      </c>
      <c r="J28" s="83">
        <f>SUM(J29)</f>
        <v>0</v>
      </c>
      <c r="K28" s="83">
        <f t="shared" ref="K28:L28" si="22">SUM(K29)</f>
        <v>0</v>
      </c>
      <c r="L28" s="83">
        <f t="shared" si="22"/>
        <v>0</v>
      </c>
      <c r="M28" s="83">
        <f t="shared" si="21"/>
        <v>0</v>
      </c>
      <c r="N28" s="84">
        <f>SUM(N29)</f>
        <v>0</v>
      </c>
      <c r="O28" s="83">
        <f>SUM(O29)</f>
        <v>0</v>
      </c>
      <c r="P28" s="83">
        <f t="shared" ref="P28:Q28" si="23">SUM(P29)</f>
        <v>0</v>
      </c>
      <c r="Q28" s="83">
        <f t="shared" si="23"/>
        <v>0</v>
      </c>
      <c r="R28" s="83">
        <f t="shared" si="21"/>
        <v>0</v>
      </c>
      <c r="S28" s="84">
        <f t="shared" si="21"/>
        <v>0</v>
      </c>
      <c r="T28" s="83">
        <f>SUM(T29)</f>
        <v>0</v>
      </c>
      <c r="U28" s="83">
        <f t="shared" ref="U28:V28" si="24">SUM(U29)</f>
        <v>0</v>
      </c>
      <c r="V28" s="83">
        <f t="shared" si="24"/>
        <v>0</v>
      </c>
      <c r="W28" s="83">
        <f t="shared" si="21"/>
        <v>0</v>
      </c>
      <c r="X28" s="85" t="e">
        <f>(#REF!+#REF!)/(I28+M28)*100</f>
        <v>#REF!</v>
      </c>
      <c r="Y28" s="109">
        <f t="shared" si="9"/>
        <v>0</v>
      </c>
      <c r="Z28" s="83">
        <f>SUM(Z29)</f>
        <v>0</v>
      </c>
      <c r="AA28" s="83">
        <f t="shared" ref="AA28:AB28" si="25">SUM(AA29)</f>
        <v>0</v>
      </c>
      <c r="AB28" s="83">
        <f t="shared" si="25"/>
        <v>0</v>
      </c>
      <c r="AC28" s="110"/>
      <c r="AD28" s="108"/>
      <c r="AE28" s="9"/>
    </row>
    <row r="29" spans="1:31" ht="21" customHeight="1">
      <c r="A29" s="120"/>
      <c r="B29" s="89"/>
      <c r="C29" s="90"/>
      <c r="D29" s="113"/>
      <c r="E29" s="121"/>
      <c r="F29" s="122" t="s">
        <v>21</v>
      </c>
      <c r="G29" s="92" t="s">
        <v>49</v>
      </c>
      <c r="H29" s="122"/>
      <c r="I29" s="106">
        <f>J29+K29+L29</f>
        <v>0</v>
      </c>
      <c r="J29" s="123"/>
      <c r="K29" s="123"/>
      <c r="L29" s="123"/>
      <c r="M29" s="123"/>
      <c r="N29" s="107">
        <f>O29+P29+Q29</f>
        <v>0</v>
      </c>
      <c r="O29" s="123"/>
      <c r="P29" s="123"/>
      <c r="Q29" s="123"/>
      <c r="R29" s="124"/>
      <c r="S29" s="107">
        <f>T29+U29+V29</f>
        <v>0</v>
      </c>
      <c r="T29" s="97"/>
      <c r="U29" s="97"/>
      <c r="V29" s="97"/>
      <c r="W29" s="124"/>
      <c r="X29" s="99"/>
      <c r="Y29" s="125"/>
      <c r="Z29" s="97">
        <f t="shared" ref="Z29:AB29" si="26">O29-T29</f>
        <v>0</v>
      </c>
      <c r="AA29" s="97">
        <f t="shared" si="26"/>
        <v>0</v>
      </c>
      <c r="AB29" s="97">
        <f t="shared" si="26"/>
        <v>0</v>
      </c>
      <c r="AC29" s="110"/>
      <c r="AD29" s="124"/>
      <c r="AE29" s="9"/>
    </row>
    <row r="30" spans="1:31">
      <c r="A30" s="126">
        <v>2</v>
      </c>
      <c r="B30" s="127" t="s">
        <v>50</v>
      </c>
      <c r="C30" s="128" t="s">
        <v>51</v>
      </c>
      <c r="D30" s="72"/>
      <c r="E30" s="72"/>
      <c r="F30" s="73" t="s">
        <v>52</v>
      </c>
      <c r="G30" s="73" t="s">
        <v>22</v>
      </c>
      <c r="H30" s="73" t="s">
        <v>23</v>
      </c>
      <c r="I30" s="74">
        <f>I32+I33+I52+I55+I68+I70</f>
        <v>80144.906999999977</v>
      </c>
      <c r="J30" s="74">
        <f>J32+J33+J52+J55+J68+J70</f>
        <v>11852.735000000001</v>
      </c>
      <c r="K30" s="74">
        <f t="shared" ref="K30:AB30" si="27">K32+K33+K52+K55+K68+K70</f>
        <v>68292.171999999977</v>
      </c>
      <c r="L30" s="74">
        <f t="shared" si="27"/>
        <v>0</v>
      </c>
      <c r="M30" s="74">
        <f t="shared" si="27"/>
        <v>0</v>
      </c>
      <c r="N30" s="74">
        <f>N32+N33+N52+N55+N68+N70</f>
        <v>112478.18371000001</v>
      </c>
      <c r="O30" s="74">
        <f>O32+O33+O52+O55+O68+O70</f>
        <v>22784.800890000002</v>
      </c>
      <c r="P30" s="74">
        <f t="shared" ref="P30:R30" si="28">P32+P33+P52+P55+P68+P70</f>
        <v>79372.022819999998</v>
      </c>
      <c r="Q30" s="74">
        <f t="shared" si="28"/>
        <v>10321.36</v>
      </c>
      <c r="R30" s="74">
        <f t="shared" si="28"/>
        <v>0</v>
      </c>
      <c r="S30" s="74">
        <f t="shared" si="27"/>
        <v>112446.35582999999</v>
      </c>
      <c r="T30" s="74">
        <f t="shared" si="27"/>
        <v>22753.105489999998</v>
      </c>
      <c r="U30" s="74">
        <f t="shared" si="27"/>
        <v>79371.990300000005</v>
      </c>
      <c r="V30" s="74">
        <f t="shared" si="27"/>
        <v>10321.260039999999</v>
      </c>
      <c r="W30" s="74">
        <f t="shared" si="27"/>
        <v>0</v>
      </c>
      <c r="X30" s="129" t="e">
        <f t="shared" si="27"/>
        <v>#REF!</v>
      </c>
      <c r="Y30" s="74">
        <f t="shared" si="27"/>
        <v>31.827880000002182</v>
      </c>
      <c r="Z30" s="74">
        <f t="shared" si="27"/>
        <v>31.695400000000802</v>
      </c>
      <c r="AA30" s="74">
        <f t="shared" si="27"/>
        <v>3.2520000000005211E-2</v>
      </c>
      <c r="AB30" s="74">
        <f t="shared" si="27"/>
        <v>9.9960000001374283E-2</v>
      </c>
      <c r="AC30" s="76" t="e">
        <f>#REF!/I30*100</f>
        <v>#REF!</v>
      </c>
      <c r="AD30" s="74">
        <v>83681.798840000003</v>
      </c>
      <c r="AE30" s="9"/>
    </row>
    <row r="31" spans="1:31" ht="29.25" customHeight="1">
      <c r="A31" s="77"/>
      <c r="B31" s="78" t="s">
        <v>24</v>
      </c>
      <c r="C31" s="79" t="s">
        <v>53</v>
      </c>
      <c r="D31" s="80" t="s">
        <v>54</v>
      </c>
      <c r="E31" s="80" t="s">
        <v>27</v>
      </c>
      <c r="F31" s="81" t="s">
        <v>52</v>
      </c>
      <c r="G31" s="130"/>
      <c r="H31" s="130"/>
      <c r="I31" s="131">
        <f t="shared" ref="I31:AB31" si="29">I32</f>
        <v>0</v>
      </c>
      <c r="J31" s="132">
        <f>J32</f>
        <v>0</v>
      </c>
      <c r="K31" s="132">
        <f t="shared" si="29"/>
        <v>0</v>
      </c>
      <c r="L31" s="132">
        <f t="shared" si="29"/>
        <v>0</v>
      </c>
      <c r="M31" s="132"/>
      <c r="N31" s="133">
        <f t="shared" si="29"/>
        <v>0</v>
      </c>
      <c r="O31" s="132">
        <f>O32</f>
        <v>0</v>
      </c>
      <c r="P31" s="132">
        <f t="shared" si="29"/>
        <v>0</v>
      </c>
      <c r="Q31" s="132">
        <f t="shared" si="29"/>
        <v>0</v>
      </c>
      <c r="R31" s="132"/>
      <c r="S31" s="133">
        <f t="shared" si="29"/>
        <v>0</v>
      </c>
      <c r="T31" s="132">
        <f t="shared" si="29"/>
        <v>0</v>
      </c>
      <c r="U31" s="132">
        <f t="shared" si="29"/>
        <v>0</v>
      </c>
      <c r="V31" s="132">
        <f t="shared" si="29"/>
        <v>0</v>
      </c>
      <c r="W31" s="132"/>
      <c r="X31" s="85">
        <v>0</v>
      </c>
      <c r="Y31" s="134">
        <f>Y32</f>
        <v>0</v>
      </c>
      <c r="Z31" s="132">
        <f t="shared" si="29"/>
        <v>0</v>
      </c>
      <c r="AA31" s="132">
        <f t="shared" si="29"/>
        <v>0</v>
      </c>
      <c r="AB31" s="132">
        <f t="shared" si="29"/>
        <v>0</v>
      </c>
      <c r="AC31" s="135"/>
      <c r="AD31" s="132" t="e">
        <f>AD30-#REF!</f>
        <v>#REF!</v>
      </c>
      <c r="AE31" s="9"/>
    </row>
    <row r="32" spans="1:31" ht="30" customHeight="1">
      <c r="A32" s="88"/>
      <c r="B32" s="89"/>
      <c r="C32" s="90"/>
      <c r="D32" s="91"/>
      <c r="E32" s="91"/>
      <c r="F32" s="93" t="s">
        <v>52</v>
      </c>
      <c r="G32" s="93"/>
      <c r="H32" s="93"/>
      <c r="I32" s="106">
        <f>J32+K32+L32</f>
        <v>0</v>
      </c>
      <c r="J32" s="117"/>
      <c r="K32" s="117"/>
      <c r="L32" s="117"/>
      <c r="M32" s="117"/>
      <c r="N32" s="107">
        <f>O32+P32+Q32</f>
        <v>0</v>
      </c>
      <c r="O32" s="117"/>
      <c r="P32" s="117"/>
      <c r="Q32" s="117"/>
      <c r="R32" s="117"/>
      <c r="S32" s="107">
        <f>T32+U32+V32</f>
        <v>0</v>
      </c>
      <c r="T32" s="97"/>
      <c r="U32" s="97"/>
      <c r="V32" s="97"/>
      <c r="W32" s="117"/>
      <c r="X32" s="99">
        <v>0</v>
      </c>
      <c r="Y32" s="109">
        <f>Z32+AA32+AB32</f>
        <v>0</v>
      </c>
      <c r="Z32" s="97">
        <f t="shared" ref="Z32:AB32" si="30">O32-T32</f>
        <v>0</v>
      </c>
      <c r="AA32" s="97">
        <f t="shared" si="30"/>
        <v>0</v>
      </c>
      <c r="AB32" s="97">
        <f t="shared" si="30"/>
        <v>0</v>
      </c>
      <c r="AC32" s="110"/>
      <c r="AD32" s="117"/>
      <c r="AE32" s="9"/>
    </row>
    <row r="33" spans="1:31" ht="12.75" customHeight="1">
      <c r="A33" s="88"/>
      <c r="B33" s="78" t="s">
        <v>28</v>
      </c>
      <c r="C33" s="79" t="s">
        <v>55</v>
      </c>
      <c r="D33" s="80" t="s">
        <v>30</v>
      </c>
      <c r="E33" s="80" t="s">
        <v>27</v>
      </c>
      <c r="F33" s="130" t="s">
        <v>52</v>
      </c>
      <c r="G33" s="136"/>
      <c r="H33" s="130"/>
      <c r="I33" s="82">
        <f>SUM(I34:I51)</f>
        <v>74770.348999999987</v>
      </c>
      <c r="J33" s="83">
        <f>SUM(J34:J51)</f>
        <v>6905.0770000000002</v>
      </c>
      <c r="K33" s="83">
        <f t="shared" ref="K33:L33" si="31">SUM(K34:K51)</f>
        <v>67865.271999999983</v>
      </c>
      <c r="L33" s="83">
        <f t="shared" si="31"/>
        <v>0</v>
      </c>
      <c r="M33" s="83"/>
      <c r="N33" s="84">
        <f>SUM(N34:N51)</f>
        <v>95138.08842</v>
      </c>
      <c r="O33" s="83">
        <f>SUM(O34:O51)</f>
        <v>19442.227600000002</v>
      </c>
      <c r="P33" s="83">
        <f t="shared" ref="P33:Q33" si="32">SUM(P34:P51)</f>
        <v>75695.860820000002</v>
      </c>
      <c r="Q33" s="83">
        <f t="shared" si="32"/>
        <v>0</v>
      </c>
      <c r="R33" s="83"/>
      <c r="S33" s="84">
        <f>SUM(S34:S51)</f>
        <v>95107.936899999986</v>
      </c>
      <c r="T33" s="83">
        <f>SUM(T34:T51)</f>
        <v>19412.076079999999</v>
      </c>
      <c r="U33" s="83">
        <f t="shared" ref="U33:V33" si="33">SUM(U34:U51)</f>
        <v>75695.860820000002</v>
      </c>
      <c r="V33" s="83">
        <f t="shared" si="33"/>
        <v>0</v>
      </c>
      <c r="W33" s="83"/>
      <c r="X33" s="85" t="e">
        <f>(#REF!+#REF!)/(I33+M33)*100</f>
        <v>#REF!</v>
      </c>
      <c r="Y33" s="86">
        <f>SUM(Y34:Y51)</f>
        <v>30.151520000000801</v>
      </c>
      <c r="Z33" s="83">
        <f>SUM(Z34:Z51)</f>
        <v>30.151520000000801</v>
      </c>
      <c r="AA33" s="83">
        <f t="shared" ref="AA33:AB33" si="34">SUM(AA34:AA51)</f>
        <v>0</v>
      </c>
      <c r="AB33" s="83">
        <f t="shared" si="34"/>
        <v>0</v>
      </c>
      <c r="AC33" s="87"/>
      <c r="AD33" s="83"/>
      <c r="AE33" s="9"/>
    </row>
    <row r="34" spans="1:31">
      <c r="A34" s="88"/>
      <c r="B34" s="103"/>
      <c r="C34" s="114"/>
      <c r="D34" s="105"/>
      <c r="E34" s="105"/>
      <c r="F34" s="92" t="s">
        <v>52</v>
      </c>
      <c r="G34" s="92" t="s">
        <v>56</v>
      </c>
      <c r="H34" s="92" t="s">
        <v>23</v>
      </c>
      <c r="I34" s="106">
        <f>J34+K34+L34</f>
        <v>656.89300000000003</v>
      </c>
      <c r="J34" s="123">
        <f>314.951+204.579+137.363</f>
        <v>656.89300000000003</v>
      </c>
      <c r="K34" s="117"/>
      <c r="L34" s="117"/>
      <c r="M34" s="117"/>
      <c r="N34" s="107">
        <f>O34+P34+Q34</f>
        <v>3617.9600700000001</v>
      </c>
      <c r="O34" s="123">
        <v>3617.9600700000001</v>
      </c>
      <c r="P34" s="117"/>
      <c r="Q34" s="117"/>
      <c r="R34" s="117"/>
      <c r="S34" s="107">
        <f>T34+U34+V34</f>
        <v>3608.52007</v>
      </c>
      <c r="T34" s="97">
        <v>3608.52007</v>
      </c>
      <c r="U34" s="97"/>
      <c r="V34" s="97"/>
      <c r="W34" s="117"/>
      <c r="X34" s="99" t="e">
        <f>(#REF!+#REF!)/(I34+M34)*100</f>
        <v>#REF!</v>
      </c>
      <c r="Y34" s="109">
        <f>Z34+AA34+AB34</f>
        <v>9.4400000000000546</v>
      </c>
      <c r="Z34" s="97">
        <f t="shared" ref="Z34:AB50" si="35">O34-T34</f>
        <v>9.4400000000000546</v>
      </c>
      <c r="AA34" s="97">
        <f t="shared" si="35"/>
        <v>0</v>
      </c>
      <c r="AB34" s="97">
        <f t="shared" si="35"/>
        <v>0</v>
      </c>
      <c r="AC34" s="110"/>
      <c r="AD34" s="117"/>
      <c r="AE34" s="9"/>
    </row>
    <row r="35" spans="1:31">
      <c r="A35" s="88"/>
      <c r="B35" s="103"/>
      <c r="C35" s="114"/>
      <c r="D35" s="105"/>
      <c r="E35" s="105"/>
      <c r="F35" s="115" t="s">
        <v>52</v>
      </c>
      <c r="G35" s="92" t="s">
        <v>57</v>
      </c>
      <c r="H35" s="92" t="s">
        <v>23</v>
      </c>
      <c r="I35" s="106">
        <f t="shared" ref="I35:I51" si="36">J35+K35+L35</f>
        <v>3979.4549999999999</v>
      </c>
      <c r="J35" s="123">
        <v>3979.4549999999999</v>
      </c>
      <c r="K35" s="117"/>
      <c r="L35" s="117"/>
      <c r="M35" s="117"/>
      <c r="N35" s="107">
        <f t="shared" ref="N35:N51" si="37">O35+P35+Q35</f>
        <v>8516.2784900000006</v>
      </c>
      <c r="O35" s="123">
        <v>8516.2784900000006</v>
      </c>
      <c r="P35" s="117"/>
      <c r="Q35" s="117"/>
      <c r="R35" s="117"/>
      <c r="S35" s="107">
        <f t="shared" ref="S35:S51" si="38">T35+U35+V35</f>
        <v>8513.6047799999997</v>
      </c>
      <c r="T35" s="97">
        <v>8513.6047799999997</v>
      </c>
      <c r="U35" s="97"/>
      <c r="V35" s="97"/>
      <c r="W35" s="117"/>
      <c r="X35" s="99" t="e">
        <f>(#REF!+#REF!)/(I35+M35)*100</f>
        <v>#REF!</v>
      </c>
      <c r="Y35" s="109">
        <f t="shared" ref="Y35:Y51" si="39">Z35+AA35+AB35</f>
        <v>2.6737100000009377</v>
      </c>
      <c r="Z35" s="97">
        <f t="shared" si="35"/>
        <v>2.6737100000009377</v>
      </c>
      <c r="AA35" s="97">
        <f t="shared" si="35"/>
        <v>0</v>
      </c>
      <c r="AB35" s="97">
        <f t="shared" si="35"/>
        <v>0</v>
      </c>
      <c r="AC35" s="110"/>
      <c r="AD35" s="117"/>
      <c r="AE35" s="9"/>
    </row>
    <row r="36" spans="1:31">
      <c r="A36" s="88"/>
      <c r="B36" s="103"/>
      <c r="C36" s="114"/>
      <c r="D36" s="105"/>
      <c r="E36" s="105"/>
      <c r="F36" s="92" t="s">
        <v>52</v>
      </c>
      <c r="G36" s="115" t="s">
        <v>58</v>
      </c>
      <c r="H36" s="115" t="s">
        <v>23</v>
      </c>
      <c r="I36" s="106">
        <f t="shared" si="36"/>
        <v>1384.797</v>
      </c>
      <c r="J36" s="123">
        <v>1384.797</v>
      </c>
      <c r="K36" s="117"/>
      <c r="L36" s="117"/>
      <c r="M36" s="117"/>
      <c r="N36" s="107">
        <f t="shared" si="37"/>
        <v>3340.2401799999998</v>
      </c>
      <c r="O36" s="123">
        <v>3340.2401799999998</v>
      </c>
      <c r="P36" s="117"/>
      <c r="Q36" s="117"/>
      <c r="R36" s="117"/>
      <c r="S36" s="107">
        <f t="shared" si="38"/>
        <v>3338.1736000000001</v>
      </c>
      <c r="T36" s="97">
        <v>3338.1736000000001</v>
      </c>
      <c r="U36" s="97"/>
      <c r="V36" s="97"/>
      <c r="W36" s="117"/>
      <c r="X36" s="99" t="e">
        <f>(#REF!+#REF!)/(I36+M36)*100</f>
        <v>#REF!</v>
      </c>
      <c r="Y36" s="109">
        <f t="shared" si="39"/>
        <v>2.0665799999997034</v>
      </c>
      <c r="Z36" s="97">
        <f t="shared" si="35"/>
        <v>2.0665799999997034</v>
      </c>
      <c r="AA36" s="97">
        <f t="shared" si="35"/>
        <v>0</v>
      </c>
      <c r="AB36" s="97">
        <f t="shared" si="35"/>
        <v>0</v>
      </c>
      <c r="AC36" s="110"/>
      <c r="AD36" s="117"/>
      <c r="AE36" s="9"/>
    </row>
    <row r="37" spans="1:31">
      <c r="A37" s="88"/>
      <c r="B37" s="103"/>
      <c r="C37" s="114"/>
      <c r="D37" s="105"/>
      <c r="E37" s="105"/>
      <c r="F37" s="92" t="s">
        <v>52</v>
      </c>
      <c r="G37" s="115" t="s">
        <v>59</v>
      </c>
      <c r="H37" s="115" t="s">
        <v>23</v>
      </c>
      <c r="I37" s="106">
        <f t="shared" si="36"/>
        <v>883.93200000000002</v>
      </c>
      <c r="J37" s="123">
        <v>883.93200000000002</v>
      </c>
      <c r="K37" s="117"/>
      <c r="L37" s="117"/>
      <c r="M37" s="117"/>
      <c r="N37" s="107">
        <f t="shared" si="37"/>
        <v>2135.65182</v>
      </c>
      <c r="O37" s="123">
        <v>2135.65182</v>
      </c>
      <c r="P37" s="117"/>
      <c r="Q37" s="117"/>
      <c r="R37" s="117"/>
      <c r="S37" s="107">
        <f t="shared" si="38"/>
        <v>2119.6805899999999</v>
      </c>
      <c r="T37" s="97">
        <v>2119.6805899999999</v>
      </c>
      <c r="U37" s="97"/>
      <c r="V37" s="97"/>
      <c r="W37" s="117"/>
      <c r="X37" s="99" t="e">
        <f>(#REF!+#REF!)/(I37+M37)*100</f>
        <v>#REF!</v>
      </c>
      <c r="Y37" s="109">
        <f t="shared" si="39"/>
        <v>15.971230000000105</v>
      </c>
      <c r="Z37" s="97">
        <f t="shared" si="35"/>
        <v>15.971230000000105</v>
      </c>
      <c r="AA37" s="97">
        <f t="shared" si="35"/>
        <v>0</v>
      </c>
      <c r="AB37" s="97">
        <f t="shared" si="35"/>
        <v>0</v>
      </c>
      <c r="AC37" s="110"/>
      <c r="AD37" s="117"/>
      <c r="AE37" s="9"/>
    </row>
    <row r="38" spans="1:31">
      <c r="A38" s="88"/>
      <c r="B38" s="103"/>
      <c r="C38" s="114"/>
      <c r="D38" s="105"/>
      <c r="E38" s="105"/>
      <c r="F38" s="92" t="s">
        <v>52</v>
      </c>
      <c r="G38" s="92" t="s">
        <v>60</v>
      </c>
      <c r="H38" s="92" t="s">
        <v>23</v>
      </c>
      <c r="I38" s="106">
        <f t="shared" si="36"/>
        <v>0</v>
      </c>
      <c r="J38" s="97"/>
      <c r="K38" s="98"/>
      <c r="L38" s="98"/>
      <c r="M38" s="98"/>
      <c r="N38" s="107">
        <f t="shared" si="37"/>
        <v>1440.56104</v>
      </c>
      <c r="O38" s="97">
        <f>596.2336+844.32744+36.4285-36.4285</f>
        <v>1440.56104</v>
      </c>
      <c r="P38" s="98"/>
      <c r="Q38" s="98"/>
      <c r="R38" s="98"/>
      <c r="S38" s="107">
        <f t="shared" si="38"/>
        <v>1440.56104</v>
      </c>
      <c r="T38" s="97">
        <f>596.2336+844.32744</f>
        <v>1440.56104</v>
      </c>
      <c r="U38" s="97"/>
      <c r="V38" s="97"/>
      <c r="W38" s="108"/>
      <c r="X38" s="99" t="e">
        <f>(#REF!+#REF!)/(I38+M38)*100</f>
        <v>#REF!</v>
      </c>
      <c r="Y38" s="109">
        <f t="shared" si="39"/>
        <v>0</v>
      </c>
      <c r="Z38" s="97">
        <f t="shared" si="35"/>
        <v>0</v>
      </c>
      <c r="AA38" s="97">
        <f t="shared" si="35"/>
        <v>0</v>
      </c>
      <c r="AB38" s="97">
        <f t="shared" si="35"/>
        <v>0</v>
      </c>
      <c r="AC38" s="110"/>
      <c r="AD38" s="117"/>
      <c r="AE38" s="9"/>
    </row>
    <row r="39" spans="1:31">
      <c r="A39" s="88"/>
      <c r="B39" s="103"/>
      <c r="C39" s="114"/>
      <c r="D39" s="105"/>
      <c r="E39" s="105"/>
      <c r="F39" s="92" t="s">
        <v>52</v>
      </c>
      <c r="G39" s="115" t="s">
        <v>61</v>
      </c>
      <c r="H39" s="115" t="s">
        <v>23</v>
      </c>
      <c r="I39" s="106">
        <f t="shared" si="36"/>
        <v>6453.125</v>
      </c>
      <c r="J39" s="123"/>
      <c r="K39" s="123">
        <f>589.88+495.499+448.308+2215.116+1539.664+1164.658</f>
        <v>6453.125</v>
      </c>
      <c r="L39" s="117"/>
      <c r="M39" s="117"/>
      <c r="N39" s="107">
        <f t="shared" si="37"/>
        <v>6453.125</v>
      </c>
      <c r="O39" s="123"/>
      <c r="P39" s="123">
        <v>6453.125</v>
      </c>
      <c r="Q39" s="117"/>
      <c r="R39" s="117"/>
      <c r="S39" s="107">
        <f t="shared" si="38"/>
        <v>6453.125</v>
      </c>
      <c r="T39" s="97"/>
      <c r="U39" s="97">
        <v>6453.125</v>
      </c>
      <c r="V39" s="97"/>
      <c r="W39" s="117"/>
      <c r="X39" s="99" t="e">
        <f>(#REF!+#REF!)/(I39+M39)*100</f>
        <v>#REF!</v>
      </c>
      <c r="Y39" s="109">
        <f t="shared" si="39"/>
        <v>0</v>
      </c>
      <c r="Z39" s="97">
        <f t="shared" si="35"/>
        <v>0</v>
      </c>
      <c r="AA39" s="97">
        <f t="shared" si="35"/>
        <v>0</v>
      </c>
      <c r="AB39" s="97">
        <f t="shared" si="35"/>
        <v>0</v>
      </c>
      <c r="AC39" s="110"/>
      <c r="AD39" s="117"/>
      <c r="AE39" s="9"/>
    </row>
    <row r="40" spans="1:31">
      <c r="A40" s="88"/>
      <c r="B40" s="103"/>
      <c r="C40" s="114"/>
      <c r="D40" s="105"/>
      <c r="E40" s="105"/>
      <c r="F40" s="92" t="s">
        <v>52</v>
      </c>
      <c r="G40" s="115" t="s">
        <v>62</v>
      </c>
      <c r="H40" s="115" t="s">
        <v>23</v>
      </c>
      <c r="I40" s="106">
        <f t="shared" si="36"/>
        <v>5647.7449999999999</v>
      </c>
      <c r="J40" s="123"/>
      <c r="K40" s="123">
        <f>525.93+445.026+404.58+1901.461+1375.522+995.226</f>
        <v>5647.7449999999999</v>
      </c>
      <c r="L40" s="117"/>
      <c r="M40" s="117"/>
      <c r="N40" s="107">
        <f t="shared" si="37"/>
        <v>5647.7449999999999</v>
      </c>
      <c r="O40" s="123"/>
      <c r="P40" s="123">
        <v>5647.7449999999999</v>
      </c>
      <c r="Q40" s="117"/>
      <c r="R40" s="117"/>
      <c r="S40" s="107">
        <f t="shared" si="38"/>
        <v>5647.7449999999999</v>
      </c>
      <c r="T40" s="97"/>
      <c r="U40" s="97">
        <v>5647.7449999999999</v>
      </c>
      <c r="V40" s="97"/>
      <c r="W40" s="117"/>
      <c r="X40" s="99" t="e">
        <f>(#REF!+#REF!)/(I40+M40)*100</f>
        <v>#REF!</v>
      </c>
      <c r="Y40" s="109">
        <f t="shared" si="39"/>
        <v>0</v>
      </c>
      <c r="Z40" s="97">
        <f t="shared" si="35"/>
        <v>0</v>
      </c>
      <c r="AA40" s="97">
        <f t="shared" si="35"/>
        <v>0</v>
      </c>
      <c r="AB40" s="97">
        <f t="shared" si="35"/>
        <v>0</v>
      </c>
      <c r="AC40" s="110"/>
      <c r="AD40" s="117"/>
      <c r="AE40" s="9"/>
    </row>
    <row r="41" spans="1:31">
      <c r="A41" s="88"/>
      <c r="B41" s="103"/>
      <c r="C41" s="114"/>
      <c r="D41" s="105"/>
      <c r="E41" s="105"/>
      <c r="F41" s="92" t="s">
        <v>52</v>
      </c>
      <c r="G41" s="115" t="s">
        <v>63</v>
      </c>
      <c r="H41" s="115" t="s">
        <v>23</v>
      </c>
      <c r="I41" s="106">
        <f t="shared" si="36"/>
        <v>2279.7470000000003</v>
      </c>
      <c r="J41" s="117"/>
      <c r="K41" s="123">
        <f>609.341+663.466+609.341+397.599</f>
        <v>2279.7470000000003</v>
      </c>
      <c r="L41" s="117"/>
      <c r="M41" s="117"/>
      <c r="N41" s="107">
        <f t="shared" si="37"/>
        <v>2095.8589999999999</v>
      </c>
      <c r="O41" s="117"/>
      <c r="P41" s="123">
        <v>2095.8589999999999</v>
      </c>
      <c r="Q41" s="117"/>
      <c r="R41" s="117"/>
      <c r="S41" s="107">
        <f t="shared" si="38"/>
        <v>2095.8589999999999</v>
      </c>
      <c r="T41" s="97"/>
      <c r="U41" s="97">
        <v>2095.8589999999999</v>
      </c>
      <c r="V41" s="97"/>
      <c r="W41" s="117"/>
      <c r="X41" s="99" t="e">
        <f>(#REF!+#REF!)/(I41+M41)*100</f>
        <v>#REF!</v>
      </c>
      <c r="Y41" s="109">
        <f t="shared" si="39"/>
        <v>0</v>
      </c>
      <c r="Z41" s="97">
        <f t="shared" si="35"/>
        <v>0</v>
      </c>
      <c r="AA41" s="97">
        <f t="shared" si="35"/>
        <v>0</v>
      </c>
      <c r="AB41" s="97">
        <f t="shared" si="35"/>
        <v>0</v>
      </c>
      <c r="AC41" s="110"/>
      <c r="AD41" s="117"/>
      <c r="AE41" s="9"/>
    </row>
    <row r="42" spans="1:31">
      <c r="A42" s="88"/>
      <c r="B42" s="103"/>
      <c r="C42" s="114"/>
      <c r="D42" s="105"/>
      <c r="E42" s="105"/>
      <c r="F42" s="115" t="s">
        <v>52</v>
      </c>
      <c r="G42" s="115" t="s">
        <v>64</v>
      </c>
      <c r="H42" s="115" t="s">
        <v>23</v>
      </c>
      <c r="I42" s="106">
        <f t="shared" si="36"/>
        <v>51076.19999999999</v>
      </c>
      <c r="J42" s="117"/>
      <c r="K42" s="123">
        <f>1138.1+1136.6+919.5+31824.6+9211.8+6845.6</f>
        <v>51076.19999999999</v>
      </c>
      <c r="L42" s="117"/>
      <c r="M42" s="117"/>
      <c r="N42" s="107">
        <f t="shared" si="37"/>
        <v>51184.9</v>
      </c>
      <c r="O42" s="117"/>
      <c r="P42" s="123">
        <v>51184.9</v>
      </c>
      <c r="Q42" s="117"/>
      <c r="R42" s="117"/>
      <c r="S42" s="107">
        <f t="shared" si="38"/>
        <v>51184.9</v>
      </c>
      <c r="T42" s="97"/>
      <c r="U42" s="97">
        <v>51184.9</v>
      </c>
      <c r="V42" s="97"/>
      <c r="W42" s="117"/>
      <c r="X42" s="99" t="e">
        <f>(#REF!+#REF!)/(I42+M42)*100</f>
        <v>#REF!</v>
      </c>
      <c r="Y42" s="109">
        <f t="shared" si="39"/>
        <v>0</v>
      </c>
      <c r="Z42" s="97">
        <f t="shared" si="35"/>
        <v>0</v>
      </c>
      <c r="AA42" s="97">
        <f t="shared" si="35"/>
        <v>0</v>
      </c>
      <c r="AB42" s="97">
        <f t="shared" si="35"/>
        <v>0</v>
      </c>
      <c r="AC42" s="110"/>
      <c r="AD42" s="117"/>
      <c r="AE42" s="9"/>
    </row>
    <row r="43" spans="1:31">
      <c r="A43" s="88"/>
      <c r="B43" s="103"/>
      <c r="C43" s="114"/>
      <c r="D43" s="105"/>
      <c r="E43" s="105"/>
      <c r="F43" s="115" t="s">
        <v>52</v>
      </c>
      <c r="G43" s="115" t="s">
        <v>65</v>
      </c>
      <c r="H43" s="115" t="s">
        <v>23</v>
      </c>
      <c r="I43" s="106">
        <f t="shared" si="36"/>
        <v>1117.691</v>
      </c>
      <c r="J43" s="117"/>
      <c r="K43" s="123">
        <v>1117.691</v>
      </c>
      <c r="L43" s="117"/>
      <c r="M43" s="117"/>
      <c r="N43" s="107">
        <f t="shared" si="37"/>
        <v>0</v>
      </c>
      <c r="O43" s="117"/>
      <c r="P43" s="123"/>
      <c r="Q43" s="117"/>
      <c r="R43" s="117"/>
      <c r="S43" s="107">
        <f t="shared" si="38"/>
        <v>0</v>
      </c>
      <c r="T43" s="97"/>
      <c r="U43" s="97"/>
      <c r="V43" s="97"/>
      <c r="W43" s="117"/>
      <c r="X43" s="99" t="e">
        <f>(#REF!+#REF!)/(I43+M43)*100</f>
        <v>#REF!</v>
      </c>
      <c r="Y43" s="109">
        <f t="shared" si="39"/>
        <v>0</v>
      </c>
      <c r="Z43" s="97">
        <f t="shared" si="35"/>
        <v>0</v>
      </c>
      <c r="AA43" s="97">
        <f t="shared" si="35"/>
        <v>0</v>
      </c>
      <c r="AB43" s="97">
        <f t="shared" si="35"/>
        <v>0</v>
      </c>
      <c r="AC43" s="110"/>
      <c r="AD43" s="117"/>
      <c r="AE43" s="9"/>
    </row>
    <row r="44" spans="1:31">
      <c r="A44" s="88"/>
      <c r="B44" s="103"/>
      <c r="C44" s="114"/>
      <c r="D44" s="105"/>
      <c r="E44" s="105"/>
      <c r="F44" s="115" t="s">
        <v>52</v>
      </c>
      <c r="G44" s="115" t="s">
        <v>66</v>
      </c>
      <c r="H44" s="115" t="s">
        <v>23</v>
      </c>
      <c r="I44" s="106">
        <f t="shared" si="36"/>
        <v>1102.4000000000001</v>
      </c>
      <c r="J44" s="117"/>
      <c r="K44" s="123">
        <f>18.529+16.865+10.407+748.53+166.537+141.532</f>
        <v>1102.4000000000001</v>
      </c>
      <c r="L44" s="117"/>
      <c r="M44" s="117"/>
      <c r="N44" s="107">
        <f t="shared" si="37"/>
        <v>974.7</v>
      </c>
      <c r="O44" s="117"/>
      <c r="P44" s="123">
        <v>974.7</v>
      </c>
      <c r="Q44" s="117"/>
      <c r="R44" s="117"/>
      <c r="S44" s="107">
        <f t="shared" si="38"/>
        <v>974.7</v>
      </c>
      <c r="T44" s="97"/>
      <c r="U44" s="97">
        <v>974.7</v>
      </c>
      <c r="V44" s="97"/>
      <c r="W44" s="117"/>
      <c r="X44" s="99" t="e">
        <f>(#REF!+#REF!)/(I44+M44)*100</f>
        <v>#REF!</v>
      </c>
      <c r="Y44" s="109">
        <f t="shared" si="39"/>
        <v>0</v>
      </c>
      <c r="Z44" s="97">
        <f t="shared" si="35"/>
        <v>0</v>
      </c>
      <c r="AA44" s="97">
        <f t="shared" si="35"/>
        <v>0</v>
      </c>
      <c r="AB44" s="97">
        <f t="shared" si="35"/>
        <v>0</v>
      </c>
      <c r="AC44" s="110"/>
      <c r="AD44" s="117"/>
      <c r="AE44" s="9"/>
    </row>
    <row r="45" spans="1:31">
      <c r="A45" s="88"/>
      <c r="B45" s="103"/>
      <c r="C45" s="114"/>
      <c r="D45" s="105"/>
      <c r="E45" s="105"/>
      <c r="F45" s="93" t="s">
        <v>52</v>
      </c>
      <c r="G45" s="115" t="s">
        <v>67</v>
      </c>
      <c r="H45" s="93" t="s">
        <v>23</v>
      </c>
      <c r="I45" s="106">
        <f t="shared" si="36"/>
        <v>188.364</v>
      </c>
      <c r="J45" s="137"/>
      <c r="K45" s="117">
        <f>94.182+94.182</f>
        <v>188.364</v>
      </c>
      <c r="L45" s="117"/>
      <c r="M45" s="117"/>
      <c r="N45" s="107">
        <f t="shared" si="37"/>
        <v>3780.5</v>
      </c>
      <c r="O45" s="117">
        <v>189.1</v>
      </c>
      <c r="P45" s="117">
        <f>3780.5-189.1</f>
        <v>3591.4</v>
      </c>
      <c r="Q45" s="117"/>
      <c r="R45" s="117"/>
      <c r="S45" s="107">
        <f t="shared" si="38"/>
        <v>3780.5</v>
      </c>
      <c r="T45" s="117">
        <v>189.1</v>
      </c>
      <c r="U45" s="117">
        <f>3780.5-189.1</f>
        <v>3591.4</v>
      </c>
      <c r="V45" s="97"/>
      <c r="W45" s="117"/>
      <c r="X45" s="99" t="e">
        <f>(#REF!+#REF!)/(I45+M45)*100</f>
        <v>#REF!</v>
      </c>
      <c r="Y45" s="109">
        <f t="shared" si="39"/>
        <v>0</v>
      </c>
      <c r="Z45" s="97">
        <f t="shared" si="35"/>
        <v>0</v>
      </c>
      <c r="AA45" s="97">
        <f t="shared" si="35"/>
        <v>0</v>
      </c>
      <c r="AB45" s="97">
        <f t="shared" si="35"/>
        <v>0</v>
      </c>
      <c r="AC45" s="110"/>
      <c r="AD45" s="117"/>
      <c r="AE45" s="9"/>
    </row>
    <row r="46" spans="1:31">
      <c r="A46" s="88"/>
      <c r="B46" s="103"/>
      <c r="C46" s="114"/>
      <c r="D46" s="105"/>
      <c r="E46" s="105"/>
      <c r="F46" s="93" t="s">
        <v>52</v>
      </c>
      <c r="G46" s="115" t="s">
        <v>68</v>
      </c>
      <c r="H46" s="93" t="s">
        <v>23</v>
      </c>
      <c r="I46" s="106">
        <f t="shared" si="36"/>
        <v>0</v>
      </c>
      <c r="J46" s="137"/>
      <c r="K46" s="117"/>
      <c r="L46" s="117"/>
      <c r="M46" s="117"/>
      <c r="N46" s="107">
        <f t="shared" si="37"/>
        <v>190</v>
      </c>
      <c r="O46" s="117">
        <v>1.9</v>
      </c>
      <c r="P46" s="117">
        <v>188.1</v>
      </c>
      <c r="Q46" s="117"/>
      <c r="R46" s="117"/>
      <c r="S46" s="107">
        <f t="shared" si="38"/>
        <v>190</v>
      </c>
      <c r="T46" s="117">
        <v>1.9</v>
      </c>
      <c r="U46" s="117">
        <v>188.1</v>
      </c>
      <c r="V46" s="97"/>
      <c r="W46" s="117"/>
      <c r="X46" s="99"/>
      <c r="Y46" s="109">
        <f t="shared" si="39"/>
        <v>0</v>
      </c>
      <c r="Z46" s="97">
        <f t="shared" si="35"/>
        <v>0</v>
      </c>
      <c r="AA46" s="97">
        <f t="shared" si="35"/>
        <v>0</v>
      </c>
      <c r="AB46" s="97">
        <f t="shared" si="35"/>
        <v>0</v>
      </c>
      <c r="AC46" s="110"/>
      <c r="AD46" s="117"/>
      <c r="AE46" s="9"/>
    </row>
    <row r="47" spans="1:31">
      <c r="A47" s="88"/>
      <c r="B47" s="103"/>
      <c r="C47" s="114"/>
      <c r="D47" s="105"/>
      <c r="E47" s="105"/>
      <c r="F47" s="93" t="s">
        <v>52</v>
      </c>
      <c r="G47" s="115" t="s">
        <v>69</v>
      </c>
      <c r="H47" s="93" t="s">
        <v>23</v>
      </c>
      <c r="I47" s="106">
        <f t="shared" si="36"/>
        <v>0</v>
      </c>
      <c r="J47" s="137"/>
      <c r="K47" s="117"/>
      <c r="L47" s="117"/>
      <c r="M47" s="117"/>
      <c r="N47" s="107">
        <f t="shared" si="37"/>
        <v>13</v>
      </c>
      <c r="O47" s="117"/>
      <c r="P47" s="117">
        <v>13</v>
      </c>
      <c r="Q47" s="117"/>
      <c r="R47" s="117"/>
      <c r="S47" s="107">
        <f t="shared" si="38"/>
        <v>13</v>
      </c>
      <c r="T47" s="97"/>
      <c r="U47" s="97">
        <v>13</v>
      </c>
      <c r="V47" s="97"/>
      <c r="W47" s="117"/>
      <c r="X47" s="99" t="e">
        <f>(#REF!+#REF!)/(I47+M47)*100</f>
        <v>#REF!</v>
      </c>
      <c r="Y47" s="109">
        <f t="shared" si="39"/>
        <v>0</v>
      </c>
      <c r="Z47" s="97">
        <f t="shared" si="35"/>
        <v>0</v>
      </c>
      <c r="AA47" s="97">
        <f t="shared" si="35"/>
        <v>0</v>
      </c>
      <c r="AB47" s="97">
        <f t="shared" si="35"/>
        <v>0</v>
      </c>
      <c r="AC47" s="110"/>
      <c r="AD47" s="117"/>
      <c r="AE47" s="9"/>
    </row>
    <row r="48" spans="1:31">
      <c r="A48" s="88"/>
      <c r="B48" s="103"/>
      <c r="C48" s="114"/>
      <c r="D48" s="105"/>
      <c r="E48" s="105"/>
      <c r="F48" s="93" t="s">
        <v>52</v>
      </c>
      <c r="G48" s="115" t="s">
        <v>70</v>
      </c>
      <c r="H48" s="93" t="s">
        <v>23</v>
      </c>
      <c r="I48" s="106">
        <f t="shared" si="36"/>
        <v>0</v>
      </c>
      <c r="J48" s="117"/>
      <c r="K48" s="117"/>
      <c r="L48" s="117"/>
      <c r="M48" s="117"/>
      <c r="N48" s="107">
        <f t="shared" si="37"/>
        <v>1979.5</v>
      </c>
      <c r="O48" s="117">
        <v>3.8</v>
      </c>
      <c r="P48" s="117">
        <f>1979.5-3.8</f>
        <v>1975.7</v>
      </c>
      <c r="Q48" s="117"/>
      <c r="R48" s="117"/>
      <c r="S48" s="107">
        <f t="shared" si="38"/>
        <v>1979.5</v>
      </c>
      <c r="T48" s="117">
        <v>3.8</v>
      </c>
      <c r="U48" s="117">
        <f>1979.5-3.8</f>
        <v>1975.7</v>
      </c>
      <c r="V48" s="97"/>
      <c r="W48" s="117"/>
      <c r="X48" s="99" t="e">
        <f>(#REF!+#REF!)/(I48+M48)*100</f>
        <v>#REF!</v>
      </c>
      <c r="Y48" s="109">
        <f t="shared" si="39"/>
        <v>0</v>
      </c>
      <c r="Z48" s="97">
        <f t="shared" si="35"/>
        <v>0</v>
      </c>
      <c r="AA48" s="97">
        <f t="shared" si="35"/>
        <v>0</v>
      </c>
      <c r="AB48" s="97">
        <f t="shared" si="35"/>
        <v>0</v>
      </c>
      <c r="AC48" s="110"/>
      <c r="AD48" s="117"/>
      <c r="AE48" s="9"/>
    </row>
    <row r="49" spans="1:31">
      <c r="A49" s="88"/>
      <c r="B49" s="103"/>
      <c r="C49" s="114"/>
      <c r="D49" s="105"/>
      <c r="E49" s="105"/>
      <c r="F49" s="93" t="s">
        <v>52</v>
      </c>
      <c r="G49" s="115" t="s">
        <v>71</v>
      </c>
      <c r="H49" s="93" t="s">
        <v>23</v>
      </c>
      <c r="I49" s="106">
        <f t="shared" si="36"/>
        <v>0</v>
      </c>
      <c r="J49" s="117"/>
      <c r="K49" s="117"/>
      <c r="L49" s="117"/>
      <c r="M49" s="117"/>
      <c r="N49" s="107">
        <f t="shared" si="37"/>
        <v>3400.06</v>
      </c>
      <c r="O49" s="117">
        <f>8.151+20.291</f>
        <v>28.442</v>
      </c>
      <c r="P49" s="117">
        <v>3371.6179999999999</v>
      </c>
      <c r="Q49" s="117"/>
      <c r="R49" s="117"/>
      <c r="S49" s="107">
        <f t="shared" si="38"/>
        <v>3400.06</v>
      </c>
      <c r="T49" s="117">
        <f>8.151+20.291</f>
        <v>28.442</v>
      </c>
      <c r="U49" s="117">
        <v>3371.6179999999999</v>
      </c>
      <c r="V49" s="97"/>
      <c r="W49" s="117"/>
      <c r="X49" s="99" t="e">
        <f>(#REF!+#REF!)/(I49+M49)*100</f>
        <v>#REF!</v>
      </c>
      <c r="Y49" s="109">
        <f t="shared" si="39"/>
        <v>0</v>
      </c>
      <c r="Z49" s="97">
        <f t="shared" si="35"/>
        <v>0</v>
      </c>
      <c r="AA49" s="97">
        <f t="shared" si="35"/>
        <v>0</v>
      </c>
      <c r="AB49" s="97">
        <f t="shared" si="35"/>
        <v>0</v>
      </c>
      <c r="AC49" s="110"/>
      <c r="AD49" s="117"/>
      <c r="AE49" s="9"/>
    </row>
    <row r="50" spans="1:31">
      <c r="A50" s="88"/>
      <c r="B50" s="103"/>
      <c r="C50" s="114"/>
      <c r="D50" s="105"/>
      <c r="E50" s="105"/>
      <c r="F50" s="93" t="s">
        <v>52</v>
      </c>
      <c r="G50" s="115" t="s">
        <v>72</v>
      </c>
      <c r="H50" s="93" t="s">
        <v>23</v>
      </c>
      <c r="I50" s="106">
        <f t="shared" si="36"/>
        <v>0</v>
      </c>
      <c r="J50" s="117"/>
      <c r="K50" s="117"/>
      <c r="L50" s="117"/>
      <c r="M50" s="117"/>
      <c r="N50" s="107">
        <f t="shared" si="37"/>
        <v>199.71382</v>
      </c>
      <c r="O50" s="117"/>
      <c r="P50" s="117">
        <v>199.71382</v>
      </c>
      <c r="Q50" s="117"/>
      <c r="R50" s="117"/>
      <c r="S50" s="107">
        <f t="shared" si="38"/>
        <v>199.71382</v>
      </c>
      <c r="T50" s="97"/>
      <c r="U50" s="97">
        <v>199.71382</v>
      </c>
      <c r="V50" s="97"/>
      <c r="W50" s="117"/>
      <c r="X50" s="99">
        <v>0</v>
      </c>
      <c r="Y50" s="109">
        <f t="shared" si="39"/>
        <v>0</v>
      </c>
      <c r="Z50" s="97">
        <f t="shared" si="35"/>
        <v>0</v>
      </c>
      <c r="AA50" s="97">
        <f t="shared" si="35"/>
        <v>0</v>
      </c>
      <c r="AB50" s="97">
        <f t="shared" si="35"/>
        <v>0</v>
      </c>
      <c r="AC50" s="110"/>
      <c r="AD50" s="117"/>
      <c r="AE50" s="9"/>
    </row>
    <row r="51" spans="1:31">
      <c r="A51" s="88"/>
      <c r="B51" s="89"/>
      <c r="C51" s="90"/>
      <c r="D51" s="91"/>
      <c r="E51" s="91"/>
      <c r="F51" s="115" t="s">
        <v>52</v>
      </c>
      <c r="G51" s="115" t="s">
        <v>73</v>
      </c>
      <c r="H51" s="115" t="s">
        <v>23</v>
      </c>
      <c r="I51" s="106">
        <f t="shared" si="36"/>
        <v>0</v>
      </c>
      <c r="J51" s="117"/>
      <c r="K51" s="123"/>
      <c r="L51" s="117"/>
      <c r="M51" s="117"/>
      <c r="N51" s="107">
        <f t="shared" si="37"/>
        <v>168.29400000000001</v>
      </c>
      <c r="O51" s="117">
        <v>168.29400000000001</v>
      </c>
      <c r="P51" s="123"/>
      <c r="Q51" s="117"/>
      <c r="R51" s="117"/>
      <c r="S51" s="107">
        <f t="shared" si="38"/>
        <v>168.29400000000001</v>
      </c>
      <c r="T51" s="97">
        <v>168.29400000000001</v>
      </c>
      <c r="U51" s="97"/>
      <c r="V51" s="97"/>
      <c r="W51" s="117"/>
      <c r="X51" s="99" t="e">
        <f>(#REF!+#REF!)/(I51+M51)*100</f>
        <v>#REF!</v>
      </c>
      <c r="Y51" s="109">
        <f t="shared" si="39"/>
        <v>0</v>
      </c>
      <c r="Z51" s="97">
        <f t="shared" ref="Z51:AB51" si="40">O51-T51</f>
        <v>0</v>
      </c>
      <c r="AA51" s="97">
        <f t="shared" si="40"/>
        <v>0</v>
      </c>
      <c r="AB51" s="97">
        <f t="shared" si="40"/>
        <v>0</v>
      </c>
      <c r="AC51" s="110"/>
      <c r="AD51" s="117"/>
      <c r="AE51" s="9"/>
    </row>
    <row r="52" spans="1:31">
      <c r="A52" s="88"/>
      <c r="B52" s="78" t="s">
        <v>42</v>
      </c>
      <c r="C52" s="79" t="s">
        <v>74</v>
      </c>
      <c r="D52" s="80" t="s">
        <v>75</v>
      </c>
      <c r="E52" s="80" t="s">
        <v>27</v>
      </c>
      <c r="F52" s="81" t="s">
        <v>52</v>
      </c>
      <c r="G52" s="130"/>
      <c r="H52" s="130"/>
      <c r="I52" s="131">
        <f>SUM(I53:I54)</f>
        <v>1352.9</v>
      </c>
      <c r="J52" s="132">
        <f>SUM(J53:J54)</f>
        <v>926</v>
      </c>
      <c r="K52" s="132">
        <f t="shared" ref="K52:L52" si="41">SUM(K53:K54)</f>
        <v>426.9</v>
      </c>
      <c r="L52" s="132">
        <f t="shared" si="41"/>
        <v>0</v>
      </c>
      <c r="M52" s="132"/>
      <c r="N52" s="133">
        <f>SUM(N53:N54)</f>
        <v>1622.3</v>
      </c>
      <c r="O52" s="132">
        <f>SUM(O53:O54)</f>
        <v>926</v>
      </c>
      <c r="P52" s="132">
        <f t="shared" ref="P52:Q52" si="42">SUM(P53:P54)</f>
        <v>696.3</v>
      </c>
      <c r="Q52" s="132">
        <f t="shared" si="42"/>
        <v>0</v>
      </c>
      <c r="R52" s="132"/>
      <c r="S52" s="133">
        <f>SUM(S53:S54)</f>
        <v>1622.3</v>
      </c>
      <c r="T52" s="132">
        <f>SUM(T53:T54)</f>
        <v>926</v>
      </c>
      <c r="U52" s="132">
        <f t="shared" ref="U52:V52" si="43">SUM(U53:U54)</f>
        <v>696.3</v>
      </c>
      <c r="V52" s="132">
        <f t="shared" si="43"/>
        <v>0</v>
      </c>
      <c r="W52" s="132"/>
      <c r="X52" s="85" t="e">
        <f>(#REF!+#REF!)/(I52+M52)*100</f>
        <v>#REF!</v>
      </c>
      <c r="Y52" s="134">
        <f>SUM(Y53:Y54)</f>
        <v>0</v>
      </c>
      <c r="Z52" s="132">
        <f>SUM(Z53:Z54)</f>
        <v>0</v>
      </c>
      <c r="AA52" s="132">
        <f t="shared" ref="AA52:AB52" si="44">SUM(AA53:AA54)</f>
        <v>0</v>
      </c>
      <c r="AB52" s="132">
        <f t="shared" si="44"/>
        <v>0</v>
      </c>
      <c r="AC52" s="135"/>
      <c r="AD52" s="132"/>
      <c r="AE52" s="9"/>
    </row>
    <row r="53" spans="1:31">
      <c r="A53" s="88"/>
      <c r="B53" s="103"/>
      <c r="C53" s="114"/>
      <c r="D53" s="105"/>
      <c r="E53" s="105"/>
      <c r="F53" s="92" t="s">
        <v>52</v>
      </c>
      <c r="G53" s="115" t="s">
        <v>76</v>
      </c>
      <c r="H53" s="115" t="s">
        <v>23</v>
      </c>
      <c r="I53" s="106">
        <f>J53+K53+L53</f>
        <v>426.9</v>
      </c>
      <c r="J53" s="123"/>
      <c r="K53" s="117">
        <v>426.9</v>
      </c>
      <c r="L53" s="117"/>
      <c r="M53" s="117"/>
      <c r="N53" s="107">
        <f>O53+P53+Q53</f>
        <v>696.3</v>
      </c>
      <c r="O53" s="123"/>
      <c r="P53" s="117">
        <f>426.9+269.4</f>
        <v>696.3</v>
      </c>
      <c r="Q53" s="117"/>
      <c r="R53" s="117"/>
      <c r="S53" s="107">
        <f>T53+U53+V53</f>
        <v>696.3</v>
      </c>
      <c r="T53" s="123"/>
      <c r="U53" s="117">
        <f>426.9+269.4</f>
        <v>696.3</v>
      </c>
      <c r="V53" s="97"/>
      <c r="W53" s="117"/>
      <c r="X53" s="99" t="e">
        <f>(#REF!+#REF!)/(I53+M53)*100</f>
        <v>#REF!</v>
      </c>
      <c r="Y53" s="109">
        <f>Z53+AA53+AB53</f>
        <v>0</v>
      </c>
      <c r="Z53" s="97">
        <f t="shared" ref="Z53:AB54" si="45">O53-T53</f>
        <v>0</v>
      </c>
      <c r="AA53" s="97">
        <f t="shared" si="45"/>
        <v>0</v>
      </c>
      <c r="AB53" s="97">
        <f t="shared" si="45"/>
        <v>0</v>
      </c>
      <c r="AC53" s="110"/>
      <c r="AD53" s="117"/>
      <c r="AE53" s="9"/>
    </row>
    <row r="54" spans="1:31">
      <c r="A54" s="88"/>
      <c r="B54" s="89"/>
      <c r="C54" s="90"/>
      <c r="D54" s="91"/>
      <c r="E54" s="91"/>
      <c r="F54" s="92" t="s">
        <v>52</v>
      </c>
      <c r="G54" s="115" t="s">
        <v>77</v>
      </c>
      <c r="H54" s="115" t="s">
        <v>23</v>
      </c>
      <c r="I54" s="106">
        <f>J54+K54+L54</f>
        <v>926</v>
      </c>
      <c r="J54" s="123">
        <v>926</v>
      </c>
      <c r="K54" s="117"/>
      <c r="L54" s="117"/>
      <c r="M54" s="117"/>
      <c r="N54" s="107">
        <f>O54+P54+Q54</f>
        <v>926</v>
      </c>
      <c r="O54" s="123">
        <v>926</v>
      </c>
      <c r="P54" s="117"/>
      <c r="Q54" s="117"/>
      <c r="R54" s="117"/>
      <c r="S54" s="107">
        <f>T54+U54+V54</f>
        <v>926</v>
      </c>
      <c r="T54" s="123">
        <v>926</v>
      </c>
      <c r="U54" s="117"/>
      <c r="V54" s="97"/>
      <c r="W54" s="117"/>
      <c r="X54" s="99" t="e">
        <f>(#REF!+#REF!)/(I54+M54)*100</f>
        <v>#REF!</v>
      </c>
      <c r="Y54" s="109">
        <f>Z54+AA54+AB54</f>
        <v>0</v>
      </c>
      <c r="Z54" s="97">
        <f t="shared" si="45"/>
        <v>0</v>
      </c>
      <c r="AA54" s="97">
        <f t="shared" si="45"/>
        <v>0</v>
      </c>
      <c r="AB54" s="97">
        <f t="shared" si="45"/>
        <v>0</v>
      </c>
      <c r="AC54" s="110"/>
      <c r="AD54" s="117"/>
      <c r="AE54" s="9"/>
    </row>
    <row r="55" spans="1:31">
      <c r="A55" s="88"/>
      <c r="B55" s="78" t="s">
        <v>47</v>
      </c>
      <c r="C55" s="79" t="s">
        <v>78</v>
      </c>
      <c r="D55" s="80" t="s">
        <v>75</v>
      </c>
      <c r="E55" s="80" t="s">
        <v>27</v>
      </c>
      <c r="F55" s="81" t="s">
        <v>52</v>
      </c>
      <c r="G55" s="130"/>
      <c r="H55" s="130"/>
      <c r="I55" s="131">
        <f>SUM(I56:I67)</f>
        <v>4000</v>
      </c>
      <c r="J55" s="132">
        <f>SUM(J56:J67)</f>
        <v>4000</v>
      </c>
      <c r="K55" s="132">
        <f t="shared" ref="K55:L55" si="46">SUM(K56:K67)</f>
        <v>0</v>
      </c>
      <c r="L55" s="132">
        <f t="shared" si="46"/>
        <v>0</v>
      </c>
      <c r="M55" s="132"/>
      <c r="N55" s="133">
        <f>SUM(N56:N67)</f>
        <v>15537.03729</v>
      </c>
      <c r="O55" s="132">
        <f>SUM(O56:O67)</f>
        <v>2235.81529</v>
      </c>
      <c r="P55" s="132">
        <f t="shared" ref="P55:Q55" si="47">SUM(P56:P67)</f>
        <v>2979.8620000000001</v>
      </c>
      <c r="Q55" s="132">
        <f t="shared" si="47"/>
        <v>10321.36</v>
      </c>
      <c r="R55" s="132"/>
      <c r="S55" s="133">
        <f>SUM(S56:S67)</f>
        <v>15536.904809999998</v>
      </c>
      <c r="T55" s="132">
        <f>SUM(T56:T67)</f>
        <v>2235.81529</v>
      </c>
      <c r="U55" s="132">
        <f t="shared" ref="U55:V55" si="48">SUM(U56:U67)</f>
        <v>2979.8294800000003</v>
      </c>
      <c r="V55" s="132">
        <f t="shared" si="48"/>
        <v>10321.260039999999</v>
      </c>
      <c r="W55" s="132"/>
      <c r="X55" s="85" t="e">
        <f>(#REF!+#REF!)/(I55+M55)*100</f>
        <v>#REF!</v>
      </c>
      <c r="Y55" s="134">
        <f>SUM(Y56:Y67)</f>
        <v>0.13248000000137949</v>
      </c>
      <c r="Z55" s="132">
        <f>SUM(Z56:Z67)</f>
        <v>0</v>
      </c>
      <c r="AA55" s="132">
        <f t="shared" ref="AA55:AB55" si="49">SUM(AA56:AA67)</f>
        <v>3.2520000000005211E-2</v>
      </c>
      <c r="AB55" s="132">
        <f t="shared" si="49"/>
        <v>9.9960000001374283E-2</v>
      </c>
      <c r="AC55" s="135"/>
      <c r="AD55" s="132"/>
      <c r="AE55" s="9"/>
    </row>
    <row r="56" spans="1:31">
      <c r="A56" s="88"/>
      <c r="B56" s="103"/>
      <c r="C56" s="114"/>
      <c r="D56" s="105"/>
      <c r="E56" s="105"/>
      <c r="F56" s="92" t="s">
        <v>52</v>
      </c>
      <c r="G56" s="115" t="s">
        <v>79</v>
      </c>
      <c r="H56" s="115" t="s">
        <v>23</v>
      </c>
      <c r="I56" s="106">
        <f t="shared" ref="I56:I58" si="50">J56+K56+L56</f>
        <v>0</v>
      </c>
      <c r="J56" s="123"/>
      <c r="K56" s="117"/>
      <c r="L56" s="117"/>
      <c r="M56" s="117"/>
      <c r="N56" s="107">
        <f t="shared" ref="N56:N58" si="51">O56+P56+Q56</f>
        <v>0</v>
      </c>
      <c r="O56" s="123"/>
      <c r="P56" s="117"/>
      <c r="Q56" s="117"/>
      <c r="R56" s="117"/>
      <c r="S56" s="107">
        <f t="shared" ref="S56:S58" si="52">T56+U56+V56</f>
        <v>0</v>
      </c>
      <c r="T56" s="97"/>
      <c r="U56" s="97"/>
      <c r="V56" s="97"/>
      <c r="W56" s="117"/>
      <c r="X56" s="99" t="e">
        <f>(#REF!+#REF!)/(I56+M56)*100</f>
        <v>#REF!</v>
      </c>
      <c r="Y56" s="109">
        <f>Z56+AA56+AB56</f>
        <v>0</v>
      </c>
      <c r="Z56" s="97">
        <f t="shared" ref="Z56:AB67" si="53">O56-T56</f>
        <v>0</v>
      </c>
      <c r="AA56" s="97">
        <f t="shared" si="53"/>
        <v>0</v>
      </c>
      <c r="AB56" s="97">
        <f t="shared" si="53"/>
        <v>0</v>
      </c>
      <c r="AC56" s="110"/>
      <c r="AD56" s="117"/>
      <c r="AE56" s="9"/>
    </row>
    <row r="57" spans="1:31">
      <c r="A57" s="88"/>
      <c r="B57" s="103"/>
      <c r="C57" s="114"/>
      <c r="D57" s="105"/>
      <c r="E57" s="105"/>
      <c r="F57" s="92" t="s">
        <v>52</v>
      </c>
      <c r="G57" s="115" t="s">
        <v>80</v>
      </c>
      <c r="H57" s="115" t="s">
        <v>23</v>
      </c>
      <c r="I57" s="106">
        <f t="shared" si="50"/>
        <v>0</v>
      </c>
      <c r="J57" s="123"/>
      <c r="K57" s="117"/>
      <c r="L57" s="117"/>
      <c r="M57" s="117"/>
      <c r="N57" s="107">
        <f t="shared" si="51"/>
        <v>1054.105</v>
      </c>
      <c r="O57" s="123">
        <v>52.704999999999998</v>
      </c>
      <c r="P57" s="117">
        <v>1001.4</v>
      </c>
      <c r="Q57" s="117"/>
      <c r="R57" s="117"/>
      <c r="S57" s="107">
        <f t="shared" si="52"/>
        <v>1054.105</v>
      </c>
      <c r="T57" s="123">
        <v>52.704999999999998</v>
      </c>
      <c r="U57" s="117">
        <v>1001.4</v>
      </c>
      <c r="V57" s="97"/>
      <c r="W57" s="117"/>
      <c r="X57" s="99" t="e">
        <f>(#REF!+#REF!)/(I57+M57)*100</f>
        <v>#REF!</v>
      </c>
      <c r="Y57" s="109">
        <f t="shared" ref="Y57:Y67" si="54">Z57+AA57+AB57</f>
        <v>0</v>
      </c>
      <c r="Z57" s="97">
        <f t="shared" si="53"/>
        <v>0</v>
      </c>
      <c r="AA57" s="97">
        <f t="shared" si="53"/>
        <v>0</v>
      </c>
      <c r="AB57" s="97">
        <f t="shared" si="53"/>
        <v>0</v>
      </c>
      <c r="AC57" s="110"/>
      <c r="AD57" s="117"/>
      <c r="AE57" s="9"/>
    </row>
    <row r="58" spans="1:31">
      <c r="A58" s="88"/>
      <c r="B58" s="103"/>
      <c r="C58" s="114"/>
      <c r="D58" s="105"/>
      <c r="E58" s="105"/>
      <c r="F58" s="92" t="s">
        <v>52</v>
      </c>
      <c r="G58" s="115" t="s">
        <v>81</v>
      </c>
      <c r="H58" s="115" t="s">
        <v>23</v>
      </c>
      <c r="I58" s="106">
        <f t="shared" si="50"/>
        <v>0</v>
      </c>
      <c r="J58" s="123"/>
      <c r="K58" s="117"/>
      <c r="L58" s="117"/>
      <c r="M58" s="117"/>
      <c r="N58" s="107">
        <f t="shared" si="51"/>
        <v>9825.9000000000015</v>
      </c>
      <c r="O58" s="123"/>
      <c r="P58" s="117">
        <v>98.29</v>
      </c>
      <c r="Q58" s="117">
        <v>9727.61</v>
      </c>
      <c r="R58" s="117"/>
      <c r="S58" s="107">
        <f t="shared" si="52"/>
        <v>9825.7675199999994</v>
      </c>
      <c r="T58" s="97"/>
      <c r="U58" s="97">
        <v>98.257480000000001</v>
      </c>
      <c r="V58" s="117">
        <v>9727.5100399999992</v>
      </c>
      <c r="W58" s="117"/>
      <c r="X58" s="99" t="e">
        <f>(#REF!+#REF!)/(I58+M58)*100</f>
        <v>#REF!</v>
      </c>
      <c r="Y58" s="109">
        <f t="shared" si="54"/>
        <v>0.13248000000137949</v>
      </c>
      <c r="Z58" s="97">
        <f t="shared" si="53"/>
        <v>0</v>
      </c>
      <c r="AA58" s="97">
        <f t="shared" si="53"/>
        <v>3.2520000000005211E-2</v>
      </c>
      <c r="AB58" s="97">
        <f t="shared" si="53"/>
        <v>9.9960000001374283E-2</v>
      </c>
      <c r="AC58" s="110"/>
      <c r="AD58" s="117"/>
      <c r="AE58" s="9"/>
    </row>
    <row r="59" spans="1:31">
      <c r="A59" s="88"/>
      <c r="B59" s="103"/>
      <c r="C59" s="114"/>
      <c r="D59" s="105"/>
      <c r="E59" s="105"/>
      <c r="F59" s="92" t="s">
        <v>52</v>
      </c>
      <c r="G59" s="115" t="s">
        <v>82</v>
      </c>
      <c r="H59" s="115" t="s">
        <v>23</v>
      </c>
      <c r="I59" s="106">
        <f>J59+K59+L59</f>
        <v>0</v>
      </c>
      <c r="J59" s="123"/>
      <c r="K59" s="117"/>
      <c r="L59" s="117"/>
      <c r="M59" s="117"/>
      <c r="N59" s="138">
        <f>O59+P59+Q59</f>
        <v>658</v>
      </c>
      <c r="O59" s="139">
        <v>26.32</v>
      </c>
      <c r="P59" s="140">
        <v>37.93</v>
      </c>
      <c r="Q59" s="140">
        <v>593.75</v>
      </c>
      <c r="R59" s="140"/>
      <c r="S59" s="141">
        <f>T59+U59+V59</f>
        <v>658</v>
      </c>
      <c r="T59" s="139">
        <v>26.32</v>
      </c>
      <c r="U59" s="140">
        <v>37.93</v>
      </c>
      <c r="V59" s="140">
        <v>593.75</v>
      </c>
      <c r="W59" s="140"/>
      <c r="X59" s="142" t="e">
        <f>(#REF!+#REF!)/(I59+M59)*100</f>
        <v>#REF!</v>
      </c>
      <c r="Y59" s="141">
        <f t="shared" si="54"/>
        <v>0</v>
      </c>
      <c r="Z59" s="143">
        <f t="shared" si="53"/>
        <v>0</v>
      </c>
      <c r="AA59" s="143">
        <f t="shared" si="53"/>
        <v>0</v>
      </c>
      <c r="AB59" s="143">
        <f t="shared" si="53"/>
        <v>0</v>
      </c>
      <c r="AC59" s="110"/>
      <c r="AD59" s="117"/>
      <c r="AE59" s="9"/>
    </row>
    <row r="60" spans="1:31">
      <c r="A60" s="88"/>
      <c r="B60" s="103"/>
      <c r="C60" s="114"/>
      <c r="D60" s="105"/>
      <c r="E60" s="105"/>
      <c r="F60" s="92" t="s">
        <v>52</v>
      </c>
      <c r="G60" s="115" t="s">
        <v>83</v>
      </c>
      <c r="H60" s="115" t="s">
        <v>23</v>
      </c>
      <c r="I60" s="106">
        <f>J60+K60+L60</f>
        <v>0</v>
      </c>
      <c r="J60" s="123"/>
      <c r="K60" s="117"/>
      <c r="L60" s="117"/>
      <c r="M60" s="117"/>
      <c r="N60" s="107">
        <f>O60+P60+Q60</f>
        <v>0</v>
      </c>
      <c r="O60" s="123"/>
      <c r="P60" s="117"/>
      <c r="Q60" s="117"/>
      <c r="R60" s="117"/>
      <c r="S60" s="107">
        <f>T60+U60+V60</f>
        <v>0</v>
      </c>
      <c r="T60" s="97"/>
      <c r="U60" s="97"/>
      <c r="V60" s="97"/>
      <c r="W60" s="117"/>
      <c r="X60" s="99" t="e">
        <f>(#REF!+#REF!)/(I60+M60)*100</f>
        <v>#REF!</v>
      </c>
      <c r="Y60" s="109">
        <f t="shared" si="54"/>
        <v>0</v>
      </c>
      <c r="Z60" s="97">
        <f t="shared" si="53"/>
        <v>0</v>
      </c>
      <c r="AA60" s="97">
        <f t="shared" si="53"/>
        <v>0</v>
      </c>
      <c r="AB60" s="97">
        <f t="shared" si="53"/>
        <v>0</v>
      </c>
      <c r="AC60" s="110"/>
      <c r="AD60" s="117"/>
      <c r="AE60" s="9"/>
    </row>
    <row r="61" spans="1:31">
      <c r="A61" s="88"/>
      <c r="B61" s="103"/>
      <c r="C61" s="114"/>
      <c r="D61" s="105"/>
      <c r="E61" s="105"/>
      <c r="F61" s="92" t="s">
        <v>52</v>
      </c>
      <c r="G61" s="115" t="s">
        <v>84</v>
      </c>
      <c r="H61" s="115" t="s">
        <v>23</v>
      </c>
      <c r="I61" s="106">
        <f>J61+K61+L61</f>
        <v>4000</v>
      </c>
      <c r="J61" s="123">
        <v>4000</v>
      </c>
      <c r="K61" s="117"/>
      <c r="L61" s="117"/>
      <c r="M61" s="117"/>
      <c r="N61" s="107">
        <f>O61+P61+Q61</f>
        <v>0</v>
      </c>
      <c r="O61" s="123"/>
      <c r="P61" s="117"/>
      <c r="Q61" s="117"/>
      <c r="R61" s="117"/>
      <c r="S61" s="107">
        <f>T61+U61+V61</f>
        <v>0</v>
      </c>
      <c r="T61" s="97"/>
      <c r="U61" s="97"/>
      <c r="V61" s="97"/>
      <c r="W61" s="117"/>
      <c r="X61" s="99" t="e">
        <f>(#REF!+#REF!)/(I61+M61)*100</f>
        <v>#REF!</v>
      </c>
      <c r="Y61" s="109">
        <f t="shared" si="54"/>
        <v>0</v>
      </c>
      <c r="Z61" s="97">
        <f t="shared" si="53"/>
        <v>0</v>
      </c>
      <c r="AA61" s="97">
        <f t="shared" si="53"/>
        <v>0</v>
      </c>
      <c r="AB61" s="97">
        <f t="shared" si="53"/>
        <v>0</v>
      </c>
      <c r="AC61" s="110"/>
      <c r="AD61" s="117"/>
      <c r="AE61" s="9"/>
    </row>
    <row r="62" spans="1:31">
      <c r="A62" s="88"/>
      <c r="B62" s="103"/>
      <c r="C62" s="114"/>
      <c r="D62" s="105"/>
      <c r="E62" s="105"/>
      <c r="F62" s="92" t="s">
        <v>52</v>
      </c>
      <c r="G62" s="115" t="s">
        <v>85</v>
      </c>
      <c r="H62" s="115" t="s">
        <v>23</v>
      </c>
      <c r="I62" s="106">
        <f t="shared" ref="I62:I67" si="55">J62+K62+L62</f>
        <v>0</v>
      </c>
      <c r="J62" s="123"/>
      <c r="K62" s="117"/>
      <c r="L62" s="117"/>
      <c r="M62" s="117"/>
      <c r="N62" s="107">
        <f t="shared" ref="N62:N67" si="56">O62+P62+Q62</f>
        <v>250</v>
      </c>
      <c r="O62" s="123">
        <f>400-150</f>
        <v>250</v>
      </c>
      <c r="P62" s="117"/>
      <c r="Q62" s="117"/>
      <c r="R62" s="117"/>
      <c r="S62" s="107">
        <f t="shared" ref="S62:S67" si="57">T62+U62+V62</f>
        <v>250</v>
      </c>
      <c r="T62" s="97">
        <v>250</v>
      </c>
      <c r="U62" s="97"/>
      <c r="V62" s="97"/>
      <c r="W62" s="117"/>
      <c r="X62" s="99" t="e">
        <f>(#REF!+#REF!)/(I62+M62)*100</f>
        <v>#REF!</v>
      </c>
      <c r="Y62" s="109">
        <f t="shared" si="54"/>
        <v>0</v>
      </c>
      <c r="Z62" s="97">
        <f t="shared" si="53"/>
        <v>0</v>
      </c>
      <c r="AA62" s="97">
        <f t="shared" si="53"/>
        <v>0</v>
      </c>
      <c r="AB62" s="97">
        <f t="shared" si="53"/>
        <v>0</v>
      </c>
      <c r="AC62" s="110"/>
      <c r="AD62" s="117"/>
      <c r="AE62" s="9"/>
    </row>
    <row r="63" spans="1:31">
      <c r="A63" s="88"/>
      <c r="B63" s="103"/>
      <c r="C63" s="114"/>
      <c r="D63" s="105"/>
      <c r="E63" s="105"/>
      <c r="F63" s="92" t="s">
        <v>52</v>
      </c>
      <c r="G63" s="115" t="s">
        <v>86</v>
      </c>
      <c r="H63" s="115" t="s">
        <v>23</v>
      </c>
      <c r="I63" s="106">
        <f t="shared" si="55"/>
        <v>0</v>
      </c>
      <c r="J63" s="123"/>
      <c r="K63" s="117"/>
      <c r="L63" s="117"/>
      <c r="M63" s="117"/>
      <c r="N63" s="107">
        <f t="shared" si="56"/>
        <v>372</v>
      </c>
      <c r="O63" s="123">
        <v>372</v>
      </c>
      <c r="P63" s="117"/>
      <c r="Q63" s="117"/>
      <c r="R63" s="117"/>
      <c r="S63" s="107">
        <f t="shared" si="57"/>
        <v>372</v>
      </c>
      <c r="T63" s="123">
        <v>372</v>
      </c>
      <c r="U63" s="97"/>
      <c r="V63" s="97"/>
      <c r="W63" s="117"/>
      <c r="X63" s="99" t="e">
        <f>(#REF!+#REF!)/(I63+M63)*100</f>
        <v>#REF!</v>
      </c>
      <c r="Y63" s="109">
        <f t="shared" si="54"/>
        <v>0</v>
      </c>
      <c r="Z63" s="97">
        <f t="shared" si="53"/>
        <v>0</v>
      </c>
      <c r="AA63" s="97">
        <f t="shared" si="53"/>
        <v>0</v>
      </c>
      <c r="AB63" s="97">
        <f t="shared" si="53"/>
        <v>0</v>
      </c>
      <c r="AC63" s="110"/>
      <c r="AD63" s="117"/>
      <c r="AE63" s="9"/>
    </row>
    <row r="64" spans="1:31">
      <c r="A64" s="88"/>
      <c r="B64" s="103"/>
      <c r="C64" s="114"/>
      <c r="D64" s="105"/>
      <c r="E64" s="105"/>
      <c r="F64" s="92" t="s">
        <v>52</v>
      </c>
      <c r="G64" s="115" t="s">
        <v>87</v>
      </c>
      <c r="H64" s="115" t="s">
        <v>23</v>
      </c>
      <c r="I64" s="106">
        <f t="shared" si="55"/>
        <v>0</v>
      </c>
      <c r="J64" s="123"/>
      <c r="K64" s="117"/>
      <c r="L64" s="117"/>
      <c r="M64" s="117"/>
      <c r="N64" s="107">
        <f t="shared" si="56"/>
        <v>2075.7142899999999</v>
      </c>
      <c r="O64" s="123">
        <v>622.71429000000001</v>
      </c>
      <c r="P64" s="117">
        <v>1453</v>
      </c>
      <c r="Q64" s="117"/>
      <c r="R64" s="117"/>
      <c r="S64" s="107">
        <f t="shared" si="57"/>
        <v>2075.7142899999999</v>
      </c>
      <c r="T64" s="123">
        <v>622.71429000000001</v>
      </c>
      <c r="U64" s="117">
        <v>1453</v>
      </c>
      <c r="V64" s="97"/>
      <c r="W64" s="117"/>
      <c r="X64" s="99" t="e">
        <f>(#REF!+#REF!)/(I64+M64)*100</f>
        <v>#REF!</v>
      </c>
      <c r="Y64" s="109">
        <f t="shared" si="54"/>
        <v>0</v>
      </c>
      <c r="Z64" s="97">
        <f t="shared" si="53"/>
        <v>0</v>
      </c>
      <c r="AA64" s="97">
        <f t="shared" si="53"/>
        <v>0</v>
      </c>
      <c r="AB64" s="97">
        <f t="shared" si="53"/>
        <v>0</v>
      </c>
      <c r="AC64" s="110"/>
      <c r="AD64" s="117"/>
      <c r="AE64" s="9"/>
    </row>
    <row r="65" spans="1:31">
      <c r="A65" s="88"/>
      <c r="B65" s="103"/>
      <c r="C65" s="114"/>
      <c r="D65" s="105"/>
      <c r="E65" s="105"/>
      <c r="F65" s="92" t="s">
        <v>52</v>
      </c>
      <c r="G65" s="115" t="s">
        <v>88</v>
      </c>
      <c r="H65" s="115" t="s">
        <v>23</v>
      </c>
      <c r="I65" s="106">
        <f t="shared" si="55"/>
        <v>0</v>
      </c>
      <c r="J65" s="123"/>
      <c r="K65" s="117"/>
      <c r="L65" s="117"/>
      <c r="M65" s="117"/>
      <c r="N65" s="107">
        <f t="shared" si="56"/>
        <v>432.49100000000004</v>
      </c>
      <c r="O65" s="123">
        <v>43.249000000000002</v>
      </c>
      <c r="P65" s="117">
        <v>389.24200000000002</v>
      </c>
      <c r="Q65" s="117"/>
      <c r="R65" s="117"/>
      <c r="S65" s="107">
        <f t="shared" si="57"/>
        <v>432.49100000000004</v>
      </c>
      <c r="T65" s="123">
        <v>43.249000000000002</v>
      </c>
      <c r="U65" s="117">
        <v>389.24200000000002</v>
      </c>
      <c r="V65" s="97"/>
      <c r="W65" s="117"/>
      <c r="X65" s="99" t="e">
        <f>(#REF!+#REF!)/(I65+M65)*100</f>
        <v>#REF!</v>
      </c>
      <c r="Y65" s="109">
        <f t="shared" si="54"/>
        <v>0</v>
      </c>
      <c r="Z65" s="97">
        <f t="shared" si="53"/>
        <v>0</v>
      </c>
      <c r="AA65" s="97">
        <f t="shared" si="53"/>
        <v>0</v>
      </c>
      <c r="AB65" s="97">
        <f t="shared" si="53"/>
        <v>0</v>
      </c>
      <c r="AC65" s="110"/>
      <c r="AD65" s="117"/>
      <c r="AE65" s="9"/>
    </row>
    <row r="66" spans="1:31">
      <c r="A66" s="88"/>
      <c r="B66" s="103"/>
      <c r="C66" s="114"/>
      <c r="D66" s="105"/>
      <c r="E66" s="105"/>
      <c r="F66" s="92" t="s">
        <v>52</v>
      </c>
      <c r="G66" s="115" t="s">
        <v>89</v>
      </c>
      <c r="H66" s="115" t="s">
        <v>23</v>
      </c>
      <c r="I66" s="106">
        <f t="shared" si="55"/>
        <v>0</v>
      </c>
      <c r="J66" s="123"/>
      <c r="K66" s="117"/>
      <c r="L66" s="117"/>
      <c r="M66" s="117"/>
      <c r="N66" s="107">
        <f t="shared" si="56"/>
        <v>868.827</v>
      </c>
      <c r="O66" s="123">
        <v>868.827</v>
      </c>
      <c r="P66" s="117"/>
      <c r="Q66" s="117"/>
      <c r="R66" s="117"/>
      <c r="S66" s="107">
        <f t="shared" si="57"/>
        <v>868.827</v>
      </c>
      <c r="T66" s="97">
        <v>868.827</v>
      </c>
      <c r="U66" s="97"/>
      <c r="V66" s="97"/>
      <c r="W66" s="117"/>
      <c r="X66" s="99" t="e">
        <f>(#REF!+#REF!)/(I66+M66)*100</f>
        <v>#REF!</v>
      </c>
      <c r="Y66" s="109">
        <f t="shared" si="54"/>
        <v>0</v>
      </c>
      <c r="Z66" s="97">
        <f t="shared" si="53"/>
        <v>0</v>
      </c>
      <c r="AA66" s="97">
        <f t="shared" si="53"/>
        <v>0</v>
      </c>
      <c r="AB66" s="97">
        <f t="shared" si="53"/>
        <v>0</v>
      </c>
      <c r="AC66" s="110"/>
      <c r="AD66" s="117"/>
      <c r="AE66" s="9"/>
    </row>
    <row r="67" spans="1:31">
      <c r="A67" s="88"/>
      <c r="B67" s="89"/>
      <c r="C67" s="90"/>
      <c r="D67" s="91"/>
      <c r="E67" s="91"/>
      <c r="F67" s="92" t="s">
        <v>52</v>
      </c>
      <c r="G67" s="115" t="s">
        <v>90</v>
      </c>
      <c r="H67" s="115" t="s">
        <v>23</v>
      </c>
      <c r="I67" s="106">
        <f t="shared" si="55"/>
        <v>0</v>
      </c>
      <c r="J67" s="123"/>
      <c r="K67" s="117"/>
      <c r="L67" s="117"/>
      <c r="M67" s="117"/>
      <c r="N67" s="107">
        <f t="shared" si="56"/>
        <v>0</v>
      </c>
      <c r="O67" s="123"/>
      <c r="P67" s="117"/>
      <c r="Q67" s="117"/>
      <c r="R67" s="117"/>
      <c r="S67" s="107">
        <f t="shared" si="57"/>
        <v>0</v>
      </c>
      <c r="T67" s="97"/>
      <c r="U67" s="97"/>
      <c r="V67" s="97"/>
      <c r="W67" s="117"/>
      <c r="X67" s="99" t="e">
        <f>(#REF!+#REF!)/(I67+M67)*100</f>
        <v>#REF!</v>
      </c>
      <c r="Y67" s="109">
        <f t="shared" si="54"/>
        <v>0</v>
      </c>
      <c r="Z67" s="97">
        <f t="shared" si="53"/>
        <v>0</v>
      </c>
      <c r="AA67" s="97">
        <f t="shared" si="53"/>
        <v>0</v>
      </c>
      <c r="AB67" s="97">
        <f t="shared" si="53"/>
        <v>0</v>
      </c>
      <c r="AC67" s="110"/>
      <c r="AD67" s="117"/>
      <c r="AE67" s="9"/>
    </row>
    <row r="68" spans="1:31">
      <c r="A68" s="88"/>
      <c r="B68" s="78" t="s">
        <v>91</v>
      </c>
      <c r="C68" s="79" t="s">
        <v>92</v>
      </c>
      <c r="D68" s="80" t="s">
        <v>75</v>
      </c>
      <c r="E68" s="80" t="s">
        <v>27</v>
      </c>
      <c r="F68" s="81" t="s">
        <v>52</v>
      </c>
      <c r="G68" s="130"/>
      <c r="H68" s="130"/>
      <c r="I68" s="131">
        <f>I69</f>
        <v>21.658000000000001</v>
      </c>
      <c r="J68" s="132">
        <f>J69</f>
        <v>21.658000000000001</v>
      </c>
      <c r="K68" s="132">
        <f t="shared" ref="K68:L68" si="58">K69</f>
        <v>0</v>
      </c>
      <c r="L68" s="132">
        <f t="shared" si="58"/>
        <v>0</v>
      </c>
      <c r="M68" s="132"/>
      <c r="N68" s="133">
        <f>N69</f>
        <v>180.75800000000001</v>
      </c>
      <c r="O68" s="132">
        <f>O69</f>
        <v>180.75800000000001</v>
      </c>
      <c r="P68" s="132">
        <f t="shared" ref="P68:Q68" si="59">P69</f>
        <v>0</v>
      </c>
      <c r="Q68" s="132">
        <f t="shared" si="59"/>
        <v>0</v>
      </c>
      <c r="R68" s="132"/>
      <c r="S68" s="133">
        <f>S69</f>
        <v>179.21412000000001</v>
      </c>
      <c r="T68" s="132">
        <f>T69</f>
        <v>179.21412000000001</v>
      </c>
      <c r="U68" s="132">
        <f t="shared" ref="U68:V68" si="60">U69</f>
        <v>0</v>
      </c>
      <c r="V68" s="132">
        <f t="shared" si="60"/>
        <v>0</v>
      </c>
      <c r="W68" s="132"/>
      <c r="X68" s="85" t="e">
        <f>(#REF!+#REF!)/(I68+M68)*100</f>
        <v>#REF!</v>
      </c>
      <c r="Y68" s="134">
        <f>Y69</f>
        <v>1.5438800000000015</v>
      </c>
      <c r="Z68" s="132">
        <f>Z69</f>
        <v>1.5438800000000015</v>
      </c>
      <c r="AA68" s="132">
        <f t="shared" ref="AA68:AB68" si="61">AA69</f>
        <v>0</v>
      </c>
      <c r="AB68" s="132">
        <f t="shared" si="61"/>
        <v>0</v>
      </c>
      <c r="AC68" s="135"/>
      <c r="AD68" s="132"/>
      <c r="AE68" s="9"/>
    </row>
    <row r="69" spans="1:31">
      <c r="A69" s="88"/>
      <c r="B69" s="89"/>
      <c r="C69" s="90"/>
      <c r="D69" s="91"/>
      <c r="E69" s="91"/>
      <c r="F69" s="92" t="s">
        <v>52</v>
      </c>
      <c r="G69" s="115" t="s">
        <v>93</v>
      </c>
      <c r="H69" s="115" t="s">
        <v>23</v>
      </c>
      <c r="I69" s="106">
        <f>J69+K69+L69</f>
        <v>21.658000000000001</v>
      </c>
      <c r="J69" s="123">
        <f>21.658</f>
        <v>21.658000000000001</v>
      </c>
      <c r="K69" s="117"/>
      <c r="L69" s="117"/>
      <c r="M69" s="117"/>
      <c r="N69" s="107">
        <f>O69+P69+Q69</f>
        <v>180.75800000000001</v>
      </c>
      <c r="O69" s="123">
        <v>180.75800000000001</v>
      </c>
      <c r="P69" s="117"/>
      <c r="Q69" s="117"/>
      <c r="R69" s="117"/>
      <c r="S69" s="107">
        <f>T69+U69+V69</f>
        <v>179.21412000000001</v>
      </c>
      <c r="T69" s="97">
        <v>179.21412000000001</v>
      </c>
      <c r="U69" s="97"/>
      <c r="V69" s="97"/>
      <c r="W69" s="117"/>
      <c r="X69" s="99" t="e">
        <f>(#REF!+#REF!)/(I69+M69)*100</f>
        <v>#REF!</v>
      </c>
      <c r="Y69" s="109">
        <f>Z69+AA69+AB69</f>
        <v>1.5438800000000015</v>
      </c>
      <c r="Z69" s="97">
        <f t="shared" ref="Z69:AB69" si="62">O69-T69</f>
        <v>1.5438800000000015</v>
      </c>
      <c r="AA69" s="97">
        <f t="shared" si="62"/>
        <v>0</v>
      </c>
      <c r="AB69" s="97">
        <f t="shared" si="62"/>
        <v>0</v>
      </c>
      <c r="AC69" s="110"/>
      <c r="AD69" s="117"/>
      <c r="AE69" s="9"/>
    </row>
    <row r="70" spans="1:31">
      <c r="A70" s="88"/>
      <c r="B70" s="78" t="s">
        <v>94</v>
      </c>
      <c r="C70" s="144" t="s">
        <v>95</v>
      </c>
      <c r="D70" s="80"/>
      <c r="E70" s="80" t="s">
        <v>27</v>
      </c>
      <c r="F70" s="81" t="s">
        <v>52</v>
      </c>
      <c r="G70" s="130"/>
      <c r="H70" s="130"/>
      <c r="I70" s="131">
        <f>I71</f>
        <v>0</v>
      </c>
      <c r="J70" s="132">
        <f>J71</f>
        <v>0</v>
      </c>
      <c r="K70" s="132">
        <f t="shared" ref="K70:L70" si="63">K71</f>
        <v>0</v>
      </c>
      <c r="L70" s="132">
        <f t="shared" si="63"/>
        <v>0</v>
      </c>
      <c r="M70" s="132"/>
      <c r="N70" s="133">
        <f>N71</f>
        <v>0</v>
      </c>
      <c r="O70" s="132">
        <f>O71</f>
        <v>0</v>
      </c>
      <c r="P70" s="132">
        <f t="shared" ref="P70:Q70" si="64">P71</f>
        <v>0</v>
      </c>
      <c r="Q70" s="132">
        <f t="shared" si="64"/>
        <v>0</v>
      </c>
      <c r="R70" s="132"/>
      <c r="S70" s="133">
        <f>S71</f>
        <v>0</v>
      </c>
      <c r="T70" s="132">
        <f t="shared" ref="T70:V70" si="65">T71</f>
        <v>0</v>
      </c>
      <c r="U70" s="132">
        <f t="shared" si="65"/>
        <v>0</v>
      </c>
      <c r="V70" s="132">
        <f t="shared" si="65"/>
        <v>0</v>
      </c>
      <c r="W70" s="132"/>
      <c r="X70" s="85">
        <v>0</v>
      </c>
      <c r="Y70" s="134">
        <f>Y71</f>
        <v>0</v>
      </c>
      <c r="Z70" s="132">
        <f t="shared" ref="Z70:AB70" si="66">Z71</f>
        <v>0</v>
      </c>
      <c r="AA70" s="132">
        <f t="shared" si="66"/>
        <v>0</v>
      </c>
      <c r="AB70" s="132">
        <f t="shared" si="66"/>
        <v>0</v>
      </c>
      <c r="AC70" s="135"/>
      <c r="AD70" s="132"/>
      <c r="AE70" s="9"/>
    </row>
    <row r="71" spans="1:31">
      <c r="A71" s="120"/>
      <c r="B71" s="89"/>
      <c r="C71" s="145"/>
      <c r="D71" s="91"/>
      <c r="E71" s="91"/>
      <c r="F71" s="92" t="s">
        <v>52</v>
      </c>
      <c r="G71" s="115" t="s">
        <v>96</v>
      </c>
      <c r="H71" s="115" t="s">
        <v>23</v>
      </c>
      <c r="I71" s="107">
        <f>J71+K71+L71</f>
        <v>0</v>
      </c>
      <c r="J71" s="123"/>
      <c r="K71" s="117"/>
      <c r="L71" s="117"/>
      <c r="M71" s="117"/>
      <c r="N71" s="107">
        <f>O71+P71+Q71</f>
        <v>0</v>
      </c>
      <c r="O71" s="123"/>
      <c r="P71" s="117"/>
      <c r="Q71" s="117"/>
      <c r="R71" s="117"/>
      <c r="S71" s="107">
        <f>T71+U71+V71</f>
        <v>0</v>
      </c>
      <c r="T71" s="97"/>
      <c r="U71" s="97"/>
      <c r="V71" s="97"/>
      <c r="W71" s="117"/>
      <c r="X71" s="99">
        <v>0</v>
      </c>
      <c r="Y71" s="109">
        <f>Z71+AA71+AB71</f>
        <v>0</v>
      </c>
      <c r="Z71" s="97">
        <f t="shared" ref="Z71:AB71" si="67">O71-T71</f>
        <v>0</v>
      </c>
      <c r="AA71" s="97">
        <f t="shared" si="67"/>
        <v>0</v>
      </c>
      <c r="AB71" s="97">
        <f t="shared" si="67"/>
        <v>0</v>
      </c>
      <c r="AC71" s="146"/>
      <c r="AD71" s="117"/>
      <c r="AE71" s="9"/>
    </row>
    <row r="72" spans="1:31">
      <c r="A72" s="126">
        <v>3</v>
      </c>
      <c r="B72" s="127" t="s">
        <v>97</v>
      </c>
      <c r="C72" s="128" t="s">
        <v>98</v>
      </c>
      <c r="D72" s="147"/>
      <c r="E72" s="148"/>
      <c r="F72" s="73" t="s">
        <v>99</v>
      </c>
      <c r="G72" s="73" t="s">
        <v>22</v>
      </c>
      <c r="H72" s="73" t="s">
        <v>23</v>
      </c>
      <c r="I72" s="74">
        <f t="shared" ref="I72:Q72" si="68">I73+I82+I87+I91</f>
        <v>14142.07</v>
      </c>
      <c r="J72" s="74">
        <f t="shared" si="68"/>
        <v>3589.319</v>
      </c>
      <c r="K72" s="74">
        <f t="shared" si="68"/>
        <v>10552.751</v>
      </c>
      <c r="L72" s="74">
        <f t="shared" si="68"/>
        <v>0</v>
      </c>
      <c r="M72" s="74">
        <f t="shared" si="68"/>
        <v>0</v>
      </c>
      <c r="N72" s="74">
        <f>N73+N82+N87+N91</f>
        <v>24298.466889999996</v>
      </c>
      <c r="O72" s="74">
        <f t="shared" si="68"/>
        <v>9505.6141499999994</v>
      </c>
      <c r="P72" s="74">
        <f t="shared" si="68"/>
        <v>14792.85274</v>
      </c>
      <c r="Q72" s="74">
        <f t="shared" si="68"/>
        <v>0</v>
      </c>
      <c r="R72" s="74"/>
      <c r="S72" s="74">
        <f>S73+S82+S87+S91</f>
        <v>24236.754860000001</v>
      </c>
      <c r="T72" s="74">
        <f>T73+T82+T87+T91</f>
        <v>9479.9653500000004</v>
      </c>
      <c r="U72" s="74">
        <f>U73+U82+U87+U91</f>
        <v>14756.789510000001</v>
      </c>
      <c r="V72" s="74">
        <f>V73+V82+V87+V91</f>
        <v>0</v>
      </c>
      <c r="W72" s="74"/>
      <c r="X72" s="149" t="e">
        <f>(#REF!+#REF!)/(I72+M72)*100</f>
        <v>#REF!</v>
      </c>
      <c r="Y72" s="74">
        <f>Y73+Y82+Y87+Y91</f>
        <v>61.712029999999913</v>
      </c>
      <c r="Z72" s="74">
        <f>Z73+Z82+Z87+Z91</f>
        <v>25.648799999999937</v>
      </c>
      <c r="AA72" s="74">
        <f>AA73+AA82+AA87+AA91</f>
        <v>36.063229999999976</v>
      </c>
      <c r="AB72" s="74">
        <f>AB73+AB82+AB87+AB91</f>
        <v>0</v>
      </c>
      <c r="AC72" s="76" t="e">
        <f>#REF!/I72*100</f>
        <v>#REF!</v>
      </c>
      <c r="AD72" s="74"/>
      <c r="AE72" s="9"/>
    </row>
    <row r="73" spans="1:31">
      <c r="A73" s="77"/>
      <c r="B73" s="150" t="s">
        <v>24</v>
      </c>
      <c r="C73" s="79" t="s">
        <v>100</v>
      </c>
      <c r="D73" s="151" t="s">
        <v>30</v>
      </c>
      <c r="E73" s="151" t="s">
        <v>27</v>
      </c>
      <c r="F73" s="136" t="s">
        <v>99</v>
      </c>
      <c r="G73" s="136"/>
      <c r="H73" s="136"/>
      <c r="I73" s="131">
        <f>SUM(I74:I81)</f>
        <v>12844.591</v>
      </c>
      <c r="J73" s="132">
        <f>SUM(J74:J81)</f>
        <v>2379.7399999999998</v>
      </c>
      <c r="K73" s="132">
        <f>SUM(K74:K81)</f>
        <v>10464.851000000001</v>
      </c>
      <c r="L73" s="132">
        <f>SUM(L74:L81)</f>
        <v>0</v>
      </c>
      <c r="M73" s="132"/>
      <c r="N73" s="133">
        <f>SUM(N74:N81)</f>
        <v>22194.161889999996</v>
      </c>
      <c r="O73" s="132">
        <f>SUM(O74:O81)</f>
        <v>7490.2091499999997</v>
      </c>
      <c r="P73" s="132">
        <f>SUM(P74:P81)</f>
        <v>14703.952740000001</v>
      </c>
      <c r="Q73" s="132">
        <f>SUM(Q74:Q81)</f>
        <v>0</v>
      </c>
      <c r="R73" s="132"/>
      <c r="S73" s="133">
        <f>SUM(S74:S81)</f>
        <v>22132.449860000001</v>
      </c>
      <c r="T73" s="132">
        <f>SUM(T74:T81)</f>
        <v>7464.5603499999997</v>
      </c>
      <c r="U73" s="132">
        <f>SUM(U74:U81)</f>
        <v>14667.889510000001</v>
      </c>
      <c r="V73" s="132">
        <f>SUM(V74:V81)</f>
        <v>0</v>
      </c>
      <c r="W73" s="132"/>
      <c r="X73" s="85" t="e">
        <f>(#REF!+#REF!)/(I73+M73)*100</f>
        <v>#REF!</v>
      </c>
      <c r="Y73" s="134">
        <f>SUM(Y74:Y81)</f>
        <v>61.712029999999913</v>
      </c>
      <c r="Z73" s="132">
        <f>SUM(Z74:Z81)</f>
        <v>25.648799999999937</v>
      </c>
      <c r="AA73" s="132">
        <f>SUM(AA74:AA81)</f>
        <v>36.063229999999976</v>
      </c>
      <c r="AB73" s="132">
        <f>SUM(AB74:AB81)</f>
        <v>0</v>
      </c>
      <c r="AC73" s="135"/>
      <c r="AD73" s="132"/>
      <c r="AE73" s="9"/>
    </row>
    <row r="74" spans="1:31">
      <c r="A74" s="88"/>
      <c r="B74" s="152"/>
      <c r="C74" s="114"/>
      <c r="D74" s="153"/>
      <c r="E74" s="153"/>
      <c r="F74" s="92" t="s">
        <v>99</v>
      </c>
      <c r="G74" s="92" t="s">
        <v>101</v>
      </c>
      <c r="H74" s="93" t="s">
        <v>23</v>
      </c>
      <c r="I74" s="106">
        <f t="shared" ref="I74:I81" si="69">J74+K74+L74</f>
        <v>3783.6559999999999</v>
      </c>
      <c r="J74" s="123"/>
      <c r="K74" s="123">
        <f>2599.569+1184.087</f>
        <v>3783.6559999999999</v>
      </c>
      <c r="L74" s="154"/>
      <c r="M74" s="154"/>
      <c r="N74" s="107">
        <f t="shared" ref="N74:N81" si="70">O74+P74+Q74</f>
        <v>3811.2478500000002</v>
      </c>
      <c r="O74" s="123"/>
      <c r="P74" s="123">
        <v>3811.2478500000002</v>
      </c>
      <c r="Q74" s="154"/>
      <c r="R74" s="154"/>
      <c r="S74" s="107">
        <f t="shared" ref="S74:S81" si="71">T74+U74+V74</f>
        <v>3811.2478500000002</v>
      </c>
      <c r="T74" s="97"/>
      <c r="U74" s="97">
        <v>3811.2478500000002</v>
      </c>
      <c r="V74" s="97"/>
      <c r="W74" s="154"/>
      <c r="X74" s="99" t="e">
        <f>(#REF!+#REF!)/(I74+M74)*100</f>
        <v>#REF!</v>
      </c>
      <c r="Y74" s="109">
        <f t="shared" ref="Y74:Y81" si="72">Z74+AA74+AB74</f>
        <v>0</v>
      </c>
      <c r="Z74" s="97">
        <f t="shared" ref="Z74:AB81" si="73">O74-T74</f>
        <v>0</v>
      </c>
      <c r="AA74" s="97">
        <f t="shared" si="73"/>
        <v>0</v>
      </c>
      <c r="AB74" s="97">
        <f t="shared" si="73"/>
        <v>0</v>
      </c>
      <c r="AC74" s="110"/>
      <c r="AD74" s="154"/>
      <c r="AE74" s="9"/>
    </row>
    <row r="75" spans="1:31">
      <c r="A75" s="88"/>
      <c r="B75" s="152"/>
      <c r="C75" s="114"/>
      <c r="D75" s="153"/>
      <c r="E75" s="153"/>
      <c r="F75" s="115" t="s">
        <v>99</v>
      </c>
      <c r="G75" s="92" t="s">
        <v>102</v>
      </c>
      <c r="H75" s="93" t="s">
        <v>23</v>
      </c>
      <c r="I75" s="106">
        <f t="shared" si="69"/>
        <v>2379.7399999999998</v>
      </c>
      <c r="J75" s="123">
        <f>1801.625+578.115</f>
        <v>2379.7399999999998</v>
      </c>
      <c r="K75" s="154"/>
      <c r="L75" s="154"/>
      <c r="M75" s="154"/>
      <c r="N75" s="107">
        <f t="shared" si="70"/>
        <v>7068.9523499999996</v>
      </c>
      <c r="O75" s="123">
        <v>7068.9523499999996</v>
      </c>
      <c r="P75" s="154"/>
      <c r="Q75" s="154"/>
      <c r="R75" s="154"/>
      <c r="S75" s="107">
        <f t="shared" si="71"/>
        <v>7043.3035499999996</v>
      </c>
      <c r="T75" s="97">
        <v>7043.3035499999996</v>
      </c>
      <c r="U75" s="97"/>
      <c r="V75" s="97"/>
      <c r="W75" s="154"/>
      <c r="X75" s="99" t="e">
        <f>(#REF!+#REF!)/(I75+M75)*100</f>
        <v>#REF!</v>
      </c>
      <c r="Y75" s="109">
        <f t="shared" si="72"/>
        <v>25.648799999999937</v>
      </c>
      <c r="Z75" s="97">
        <f t="shared" si="73"/>
        <v>25.648799999999937</v>
      </c>
      <c r="AA75" s="97">
        <f t="shared" si="73"/>
        <v>0</v>
      </c>
      <c r="AB75" s="97">
        <f t="shared" si="73"/>
        <v>0</v>
      </c>
      <c r="AC75" s="110"/>
      <c r="AD75" s="154"/>
      <c r="AE75" s="9"/>
    </row>
    <row r="76" spans="1:31">
      <c r="A76" s="88"/>
      <c r="B76" s="152"/>
      <c r="C76" s="114"/>
      <c r="D76" s="153"/>
      <c r="E76" s="153"/>
      <c r="F76" s="115" t="s">
        <v>99</v>
      </c>
      <c r="G76" s="92" t="s">
        <v>103</v>
      </c>
      <c r="H76" s="93" t="s">
        <v>23</v>
      </c>
      <c r="I76" s="106">
        <f t="shared" si="69"/>
        <v>0</v>
      </c>
      <c r="J76" s="123"/>
      <c r="K76" s="154"/>
      <c r="L76" s="154"/>
      <c r="M76" s="154"/>
      <c r="N76" s="107">
        <f t="shared" si="70"/>
        <v>385.8888</v>
      </c>
      <c r="O76" s="123">
        <v>385.8888</v>
      </c>
      <c r="P76" s="154"/>
      <c r="Q76" s="154"/>
      <c r="R76" s="154"/>
      <c r="S76" s="107">
        <f t="shared" si="71"/>
        <v>385.8888</v>
      </c>
      <c r="T76" s="97">
        <v>385.8888</v>
      </c>
      <c r="U76" s="97"/>
      <c r="V76" s="97"/>
      <c r="W76" s="154"/>
      <c r="X76" s="99" t="e">
        <f>(#REF!+#REF!)/(I76+M76)*100</f>
        <v>#REF!</v>
      </c>
      <c r="Y76" s="109">
        <f t="shared" si="72"/>
        <v>0</v>
      </c>
      <c r="Z76" s="97">
        <f t="shared" si="73"/>
        <v>0</v>
      </c>
      <c r="AA76" s="97">
        <f t="shared" si="73"/>
        <v>0</v>
      </c>
      <c r="AB76" s="97">
        <f t="shared" si="73"/>
        <v>0</v>
      </c>
      <c r="AC76" s="110"/>
      <c r="AD76" s="154"/>
      <c r="AE76" s="9"/>
    </row>
    <row r="77" spans="1:31">
      <c r="A77" s="88"/>
      <c r="B77" s="152"/>
      <c r="C77" s="114"/>
      <c r="D77" s="153"/>
      <c r="E77" s="153"/>
      <c r="F77" s="115" t="s">
        <v>99</v>
      </c>
      <c r="G77" s="92" t="s">
        <v>104</v>
      </c>
      <c r="H77" s="93" t="s">
        <v>23</v>
      </c>
      <c r="I77" s="106">
        <f t="shared" si="69"/>
        <v>1165.1479999999999</v>
      </c>
      <c r="J77" s="123"/>
      <c r="K77" s="154">
        <f>881.948+283.2</f>
        <v>1165.1479999999999</v>
      </c>
      <c r="L77" s="154"/>
      <c r="M77" s="154"/>
      <c r="N77" s="107">
        <f t="shared" si="70"/>
        <v>1165.1479999999999</v>
      </c>
      <c r="O77" s="123"/>
      <c r="P77" s="154">
        <f>881.948+283.2</f>
        <v>1165.1479999999999</v>
      </c>
      <c r="Q77" s="154"/>
      <c r="R77" s="154"/>
      <c r="S77" s="107">
        <f t="shared" si="71"/>
        <v>1165.1479999999999</v>
      </c>
      <c r="T77" s="97"/>
      <c r="U77" s="97">
        <v>1165.1479999999999</v>
      </c>
      <c r="V77" s="97"/>
      <c r="W77" s="154"/>
      <c r="X77" s="99" t="e">
        <f>(#REF!+#REF!)/(I77+M77)*100</f>
        <v>#REF!</v>
      </c>
      <c r="Y77" s="109">
        <f t="shared" si="72"/>
        <v>0</v>
      </c>
      <c r="Z77" s="97">
        <f t="shared" si="73"/>
        <v>0</v>
      </c>
      <c r="AA77" s="97">
        <f t="shared" si="73"/>
        <v>0</v>
      </c>
      <c r="AB77" s="97">
        <f t="shared" si="73"/>
        <v>0</v>
      </c>
      <c r="AC77" s="110"/>
      <c r="AD77" s="154"/>
      <c r="AE77" s="9"/>
    </row>
    <row r="78" spans="1:31">
      <c r="A78" s="88"/>
      <c r="B78" s="152"/>
      <c r="C78" s="114"/>
      <c r="D78" s="153"/>
      <c r="E78" s="153"/>
      <c r="F78" s="115" t="s">
        <v>99</v>
      </c>
      <c r="G78" s="92" t="s">
        <v>105</v>
      </c>
      <c r="H78" s="93" t="s">
        <v>23</v>
      </c>
      <c r="I78" s="106">
        <f t="shared" si="69"/>
        <v>0</v>
      </c>
      <c r="J78" s="123"/>
      <c r="K78" s="154"/>
      <c r="L78" s="154"/>
      <c r="M78" s="154"/>
      <c r="N78" s="107">
        <f t="shared" si="70"/>
        <v>2393.3020000000001</v>
      </c>
      <c r="O78" s="123">
        <f>23.213+12.155</f>
        <v>35.368000000000002</v>
      </c>
      <c r="P78" s="154">
        <f>1547.569+810.365</f>
        <v>2357.9340000000002</v>
      </c>
      <c r="Q78" s="154"/>
      <c r="R78" s="154"/>
      <c r="S78" s="107">
        <f t="shared" si="71"/>
        <v>2393.3020000000001</v>
      </c>
      <c r="T78" s="123">
        <f>23.213+12.155</f>
        <v>35.368000000000002</v>
      </c>
      <c r="U78" s="154">
        <f>1547.569+810.365</f>
        <v>2357.9340000000002</v>
      </c>
      <c r="V78" s="97"/>
      <c r="W78" s="154"/>
      <c r="X78" s="99" t="e">
        <f>(#REF!+#REF!)/(I78+M78)*100</f>
        <v>#REF!</v>
      </c>
      <c r="Y78" s="109">
        <f t="shared" si="72"/>
        <v>0</v>
      </c>
      <c r="Z78" s="97">
        <f t="shared" si="73"/>
        <v>0</v>
      </c>
      <c r="AA78" s="97">
        <f t="shared" si="73"/>
        <v>0</v>
      </c>
      <c r="AB78" s="97">
        <f t="shared" si="73"/>
        <v>0</v>
      </c>
      <c r="AC78" s="110"/>
      <c r="AD78" s="154"/>
      <c r="AE78" s="9"/>
    </row>
    <row r="79" spans="1:31">
      <c r="A79" s="88"/>
      <c r="B79" s="152"/>
      <c r="C79" s="114"/>
      <c r="D79" s="153"/>
      <c r="E79" s="153"/>
      <c r="F79" s="115" t="s">
        <v>99</v>
      </c>
      <c r="G79" s="115" t="s">
        <v>72</v>
      </c>
      <c r="H79" s="93" t="s">
        <v>23</v>
      </c>
      <c r="I79" s="106">
        <f t="shared" si="69"/>
        <v>0</v>
      </c>
      <c r="J79" s="123"/>
      <c r="K79" s="123"/>
      <c r="L79" s="154"/>
      <c r="M79" s="154"/>
      <c r="N79" s="107">
        <f t="shared" si="70"/>
        <v>41.201720000000002</v>
      </c>
      <c r="O79" s="123"/>
      <c r="P79" s="123">
        <v>41.201720000000002</v>
      </c>
      <c r="Q79" s="154"/>
      <c r="R79" s="154"/>
      <c r="S79" s="107">
        <f t="shared" si="71"/>
        <v>41.201720000000002</v>
      </c>
      <c r="T79" s="97"/>
      <c r="U79" s="97">
        <v>41.201720000000002</v>
      </c>
      <c r="V79" s="97"/>
      <c r="W79" s="154"/>
      <c r="X79" s="99" t="e">
        <f>(#REF!+#REF!)/(I79+M79)*100</f>
        <v>#REF!</v>
      </c>
      <c r="Y79" s="109">
        <f t="shared" si="72"/>
        <v>0</v>
      </c>
      <c r="Z79" s="97">
        <f t="shared" si="73"/>
        <v>0</v>
      </c>
      <c r="AA79" s="97">
        <f t="shared" si="73"/>
        <v>0</v>
      </c>
      <c r="AB79" s="97">
        <f t="shared" si="73"/>
        <v>0</v>
      </c>
      <c r="AC79" s="110"/>
      <c r="AD79" s="154"/>
      <c r="AE79" s="9"/>
    </row>
    <row r="80" spans="1:31">
      <c r="A80" s="88"/>
      <c r="B80" s="152"/>
      <c r="C80" s="114"/>
      <c r="D80" s="153"/>
      <c r="E80" s="153"/>
      <c r="F80" s="115" t="s">
        <v>99</v>
      </c>
      <c r="G80" s="92" t="s">
        <v>106</v>
      </c>
      <c r="H80" s="93" t="s">
        <v>23</v>
      </c>
      <c r="I80" s="106">
        <f t="shared" si="69"/>
        <v>5217</v>
      </c>
      <c r="J80" s="123"/>
      <c r="K80" s="123">
        <f>3912.75+1304.25</f>
        <v>5217</v>
      </c>
      <c r="L80" s="154"/>
      <c r="M80" s="154"/>
      <c r="N80" s="107">
        <f t="shared" si="70"/>
        <v>6132.9</v>
      </c>
      <c r="O80" s="123"/>
      <c r="P80" s="123">
        <v>6132.9</v>
      </c>
      <c r="Q80" s="154"/>
      <c r="R80" s="154"/>
      <c r="S80" s="107">
        <f t="shared" si="71"/>
        <v>6132.9</v>
      </c>
      <c r="T80" s="97"/>
      <c r="U80" s="97">
        <v>6132.9</v>
      </c>
      <c r="V80" s="97"/>
      <c r="W80" s="154"/>
      <c r="X80" s="99" t="e">
        <f>(#REF!+#REF!)/(I80+M80)*100</f>
        <v>#REF!</v>
      </c>
      <c r="Y80" s="109">
        <f t="shared" si="72"/>
        <v>0</v>
      </c>
      <c r="Z80" s="97">
        <f t="shared" si="73"/>
        <v>0</v>
      </c>
      <c r="AA80" s="97">
        <f t="shared" si="73"/>
        <v>0</v>
      </c>
      <c r="AB80" s="97">
        <f t="shared" si="73"/>
        <v>0</v>
      </c>
      <c r="AC80" s="110"/>
      <c r="AD80" s="154"/>
      <c r="AE80" s="9"/>
    </row>
    <row r="81" spans="1:31">
      <c r="A81" s="88"/>
      <c r="B81" s="155"/>
      <c r="C81" s="90"/>
      <c r="D81" s="156"/>
      <c r="E81" s="156"/>
      <c r="F81" s="93" t="s">
        <v>99</v>
      </c>
      <c r="G81" s="93" t="s">
        <v>107</v>
      </c>
      <c r="H81" s="93" t="s">
        <v>23</v>
      </c>
      <c r="I81" s="106">
        <f t="shared" si="69"/>
        <v>299.04700000000003</v>
      </c>
      <c r="J81" s="154"/>
      <c r="K81" s="154">
        <v>299.04700000000003</v>
      </c>
      <c r="L81" s="154"/>
      <c r="M81" s="154"/>
      <c r="N81" s="107">
        <f t="shared" si="70"/>
        <v>1195.52117</v>
      </c>
      <c r="O81" s="154"/>
      <c r="P81" s="154">
        <v>1195.52117</v>
      </c>
      <c r="Q81" s="154"/>
      <c r="R81" s="154"/>
      <c r="S81" s="107">
        <f t="shared" si="71"/>
        <v>1159.45794</v>
      </c>
      <c r="T81" s="97"/>
      <c r="U81" s="97">
        <v>1159.45794</v>
      </c>
      <c r="V81" s="97"/>
      <c r="W81" s="154"/>
      <c r="X81" s="99" t="e">
        <f>(#REF!+#REF!)/(I81+M81)*100</f>
        <v>#REF!</v>
      </c>
      <c r="Y81" s="109">
        <f t="shared" si="72"/>
        <v>36.063229999999976</v>
      </c>
      <c r="Z81" s="97">
        <f t="shared" si="73"/>
        <v>0</v>
      </c>
      <c r="AA81" s="97">
        <f t="shared" si="73"/>
        <v>36.063229999999976</v>
      </c>
      <c r="AB81" s="97">
        <f t="shared" si="73"/>
        <v>0</v>
      </c>
      <c r="AC81" s="110"/>
      <c r="AD81" s="154"/>
      <c r="AE81" s="9"/>
    </row>
    <row r="82" spans="1:31">
      <c r="A82" s="88"/>
      <c r="B82" s="78" t="s">
        <v>28</v>
      </c>
      <c r="C82" s="79" t="s">
        <v>108</v>
      </c>
      <c r="D82" s="80" t="s">
        <v>30</v>
      </c>
      <c r="E82" s="80" t="s">
        <v>27</v>
      </c>
      <c r="F82" s="136" t="s">
        <v>99</v>
      </c>
      <c r="G82" s="136" t="s">
        <v>22</v>
      </c>
      <c r="H82" s="136" t="s">
        <v>23</v>
      </c>
      <c r="I82" s="157">
        <f>SUM(I83:I86)</f>
        <v>754.47900000000004</v>
      </c>
      <c r="J82" s="158">
        <f>SUM(J83:J86)</f>
        <v>754.47900000000004</v>
      </c>
      <c r="K82" s="158">
        <f t="shared" ref="K82:L82" si="74">SUM(K83:K86)</f>
        <v>0</v>
      </c>
      <c r="L82" s="158">
        <f t="shared" si="74"/>
        <v>0</v>
      </c>
      <c r="M82" s="158"/>
      <c r="N82" s="159">
        <f>SUM(N83:N86)</f>
        <v>1320.1290000000001</v>
      </c>
      <c r="O82" s="158">
        <f>SUM(O83:O86)</f>
        <v>1320.1290000000001</v>
      </c>
      <c r="P82" s="158">
        <f t="shared" ref="P82:Q82" si="75">SUM(P83:P86)</f>
        <v>0</v>
      </c>
      <c r="Q82" s="158">
        <f t="shared" si="75"/>
        <v>0</v>
      </c>
      <c r="R82" s="158"/>
      <c r="S82" s="159">
        <f>SUM(S83:S86)</f>
        <v>1320.1290000000001</v>
      </c>
      <c r="T82" s="158">
        <f>SUM(T83:T86)</f>
        <v>1320.1290000000001</v>
      </c>
      <c r="U82" s="158">
        <f t="shared" ref="U82:V82" si="76">SUM(U83:U86)</f>
        <v>0</v>
      </c>
      <c r="V82" s="158">
        <f t="shared" si="76"/>
        <v>0</v>
      </c>
      <c r="W82" s="158"/>
      <c r="X82" s="85" t="e">
        <f>(#REF!+#REF!)/(I82+M82)*100</f>
        <v>#REF!</v>
      </c>
      <c r="Y82" s="160">
        <f>SUM(Y83:Y86)</f>
        <v>0</v>
      </c>
      <c r="Z82" s="158">
        <f>SUM(Z83:Z86)</f>
        <v>0</v>
      </c>
      <c r="AA82" s="158">
        <f t="shared" ref="AA82:AB82" si="77">SUM(AA83:AA86)</f>
        <v>0</v>
      </c>
      <c r="AB82" s="158">
        <f t="shared" si="77"/>
        <v>0</v>
      </c>
      <c r="AC82" s="161"/>
      <c r="AD82" s="158"/>
      <c r="AE82" s="9"/>
    </row>
    <row r="83" spans="1:31">
      <c r="A83" s="88"/>
      <c r="B83" s="103"/>
      <c r="C83" s="114"/>
      <c r="D83" s="105"/>
      <c r="E83" s="105"/>
      <c r="F83" s="93" t="s">
        <v>99</v>
      </c>
      <c r="G83" s="93" t="s">
        <v>109</v>
      </c>
      <c r="H83" s="93" t="s">
        <v>23</v>
      </c>
      <c r="I83" s="106">
        <f>J83+K83+L83</f>
        <v>0</v>
      </c>
      <c r="J83" s="154"/>
      <c r="K83" s="154"/>
      <c r="L83" s="154"/>
      <c r="M83" s="154"/>
      <c r="N83" s="107">
        <f>O83+P83+Q83</f>
        <v>0</v>
      </c>
      <c r="O83" s="154"/>
      <c r="P83" s="154"/>
      <c r="Q83" s="154"/>
      <c r="R83" s="154"/>
      <c r="S83" s="107">
        <f>T83+U83+V83</f>
        <v>0</v>
      </c>
      <c r="T83" s="97"/>
      <c r="U83" s="97"/>
      <c r="V83" s="97"/>
      <c r="W83" s="154"/>
      <c r="X83" s="99" t="e">
        <f>(#REF!+#REF!)/(I83+M83)*100</f>
        <v>#REF!</v>
      </c>
      <c r="Y83" s="109">
        <f>Z83+AA83+AB83</f>
        <v>0</v>
      </c>
      <c r="Z83" s="97">
        <f t="shared" ref="Z83:AB86" si="78">O83-T83</f>
        <v>0</v>
      </c>
      <c r="AA83" s="97">
        <f t="shared" si="78"/>
        <v>0</v>
      </c>
      <c r="AB83" s="97">
        <f t="shared" si="78"/>
        <v>0</v>
      </c>
      <c r="AC83" s="110"/>
      <c r="AD83" s="154"/>
      <c r="AE83" s="9"/>
    </row>
    <row r="84" spans="1:31">
      <c r="A84" s="88"/>
      <c r="B84" s="103"/>
      <c r="C84" s="114"/>
      <c r="D84" s="105"/>
      <c r="E84" s="105"/>
      <c r="F84" s="93" t="s">
        <v>99</v>
      </c>
      <c r="G84" s="93" t="s">
        <v>110</v>
      </c>
      <c r="H84" s="93" t="s">
        <v>23</v>
      </c>
      <c r="I84" s="106">
        <f>J84+K84+L84</f>
        <v>754.47900000000004</v>
      </c>
      <c r="J84" s="154">
        <v>754.47900000000004</v>
      </c>
      <c r="K84" s="154"/>
      <c r="L84" s="154"/>
      <c r="M84" s="154"/>
      <c r="N84" s="107">
        <f>O84+P84+Q84</f>
        <v>1086.479</v>
      </c>
      <c r="O84" s="154">
        <v>1086.479</v>
      </c>
      <c r="P84" s="154"/>
      <c r="Q84" s="154"/>
      <c r="R84" s="154"/>
      <c r="S84" s="107">
        <f>T84+U84+V84</f>
        <v>1086.479</v>
      </c>
      <c r="T84" s="97">
        <v>1086.479</v>
      </c>
      <c r="U84" s="97"/>
      <c r="V84" s="97"/>
      <c r="W84" s="154"/>
      <c r="X84" s="99" t="e">
        <f>(#REF!+#REF!)/(I84+M84)*100</f>
        <v>#REF!</v>
      </c>
      <c r="Y84" s="109">
        <f>Z84+AA84+AB84</f>
        <v>0</v>
      </c>
      <c r="Z84" s="97">
        <f t="shared" si="78"/>
        <v>0</v>
      </c>
      <c r="AA84" s="97">
        <f t="shared" si="78"/>
        <v>0</v>
      </c>
      <c r="AB84" s="97">
        <f t="shared" si="78"/>
        <v>0</v>
      </c>
      <c r="AC84" s="110"/>
      <c r="AD84" s="154"/>
      <c r="AE84" s="9"/>
    </row>
    <row r="85" spans="1:31">
      <c r="A85" s="88"/>
      <c r="B85" s="103"/>
      <c r="C85" s="114"/>
      <c r="D85" s="105"/>
      <c r="E85" s="105"/>
      <c r="F85" s="115" t="s">
        <v>99</v>
      </c>
      <c r="G85" s="122" t="s">
        <v>111</v>
      </c>
      <c r="H85" s="93" t="s">
        <v>23</v>
      </c>
      <c r="I85" s="106">
        <f>J85+K85+L85</f>
        <v>0</v>
      </c>
      <c r="J85" s="123"/>
      <c r="K85" s="154"/>
      <c r="L85" s="154"/>
      <c r="M85" s="154"/>
      <c r="N85" s="107">
        <f>O85+P85+Q85</f>
        <v>233.65</v>
      </c>
      <c r="O85" s="123">
        <v>233.65</v>
      </c>
      <c r="P85" s="154"/>
      <c r="Q85" s="154"/>
      <c r="R85" s="154"/>
      <c r="S85" s="107">
        <f>T85+U85+V85</f>
        <v>233.65</v>
      </c>
      <c r="T85" s="97">
        <v>233.65</v>
      </c>
      <c r="U85" s="97"/>
      <c r="V85" s="97"/>
      <c r="W85" s="154"/>
      <c r="X85" s="99" t="e">
        <f>(#REF!+#REF!)/(I85+M85)*100</f>
        <v>#REF!</v>
      </c>
      <c r="Y85" s="109">
        <f>Z85+AA85+AB85</f>
        <v>0</v>
      </c>
      <c r="Z85" s="97">
        <f t="shared" si="78"/>
        <v>0</v>
      </c>
      <c r="AA85" s="97">
        <f t="shared" si="78"/>
        <v>0</v>
      </c>
      <c r="AB85" s="97">
        <f t="shared" si="78"/>
        <v>0</v>
      </c>
      <c r="AC85" s="110"/>
      <c r="AD85" s="154"/>
      <c r="AE85" s="9"/>
    </row>
    <row r="86" spans="1:31">
      <c r="A86" s="88"/>
      <c r="B86" s="89"/>
      <c r="C86" s="90"/>
      <c r="D86" s="91"/>
      <c r="E86" s="91"/>
      <c r="F86" s="93" t="s">
        <v>99</v>
      </c>
      <c r="G86" s="93" t="s">
        <v>112</v>
      </c>
      <c r="H86" s="93" t="s">
        <v>23</v>
      </c>
      <c r="I86" s="106">
        <f>J86+K86+L86</f>
        <v>0</v>
      </c>
      <c r="J86" s="154"/>
      <c r="K86" s="154"/>
      <c r="L86" s="154"/>
      <c r="M86" s="154"/>
      <c r="N86" s="107">
        <f>O86+P86+Q86</f>
        <v>0</v>
      </c>
      <c r="O86" s="154"/>
      <c r="P86" s="154"/>
      <c r="Q86" s="154"/>
      <c r="R86" s="154"/>
      <c r="S86" s="107">
        <f>T86+U86+V86</f>
        <v>0</v>
      </c>
      <c r="T86" s="97"/>
      <c r="U86" s="97"/>
      <c r="V86" s="97"/>
      <c r="W86" s="154"/>
      <c r="X86" s="99" t="e">
        <f>(#REF!+#REF!)/(I86+M86)*100</f>
        <v>#REF!</v>
      </c>
      <c r="Y86" s="109">
        <f>Z86+AA86+AB86</f>
        <v>0</v>
      </c>
      <c r="Z86" s="97">
        <f t="shared" si="78"/>
        <v>0</v>
      </c>
      <c r="AA86" s="97">
        <f t="shared" si="78"/>
        <v>0</v>
      </c>
      <c r="AB86" s="97">
        <f t="shared" si="78"/>
        <v>0</v>
      </c>
      <c r="AC86" s="110"/>
      <c r="AD86" s="154"/>
      <c r="AE86" s="9"/>
    </row>
    <row r="87" spans="1:31">
      <c r="A87" s="88"/>
      <c r="B87" s="78" t="s">
        <v>42</v>
      </c>
      <c r="C87" s="79" t="s">
        <v>113</v>
      </c>
      <c r="D87" s="80" t="s">
        <v>30</v>
      </c>
      <c r="E87" s="80" t="s">
        <v>27</v>
      </c>
      <c r="F87" s="136" t="s">
        <v>99</v>
      </c>
      <c r="G87" s="136"/>
      <c r="H87" s="136"/>
      <c r="I87" s="131">
        <f t="shared" ref="I87" si="79">SUM(I88:I90)</f>
        <v>250</v>
      </c>
      <c r="J87" s="132">
        <f>SUM(J88:J90)</f>
        <v>250</v>
      </c>
      <c r="K87" s="132">
        <f t="shared" ref="K87:N87" si="80">SUM(K88:K90)</f>
        <v>0</v>
      </c>
      <c r="L87" s="132">
        <f t="shared" si="80"/>
        <v>0</v>
      </c>
      <c r="M87" s="132">
        <f t="shared" si="80"/>
        <v>0</v>
      </c>
      <c r="N87" s="133">
        <f t="shared" si="80"/>
        <v>490.17599999999999</v>
      </c>
      <c r="O87" s="132">
        <f>SUM(O88:O90)</f>
        <v>490.17599999999999</v>
      </c>
      <c r="P87" s="132">
        <f t="shared" ref="P87:W87" si="81">SUM(P88:P90)</f>
        <v>0</v>
      </c>
      <c r="Q87" s="132">
        <f t="shared" si="81"/>
        <v>0</v>
      </c>
      <c r="R87" s="132">
        <f t="shared" si="81"/>
        <v>0</v>
      </c>
      <c r="S87" s="133">
        <f t="shared" si="81"/>
        <v>490.17599999999999</v>
      </c>
      <c r="T87" s="132">
        <f t="shared" si="81"/>
        <v>490.17599999999999</v>
      </c>
      <c r="U87" s="132">
        <f t="shared" si="81"/>
        <v>0</v>
      </c>
      <c r="V87" s="132">
        <f t="shared" si="81"/>
        <v>0</v>
      </c>
      <c r="W87" s="132">
        <f t="shared" si="81"/>
        <v>0</v>
      </c>
      <c r="X87" s="85" t="e">
        <f>(#REF!+#REF!)/(I87+M87)*100</f>
        <v>#REF!</v>
      </c>
      <c r="Y87" s="160">
        <f>SUM(Y88:Y90)</f>
        <v>0</v>
      </c>
      <c r="Z87" s="132">
        <f t="shared" ref="Z87:AB87" si="82">SUM(Z88:Z90)</f>
        <v>0</v>
      </c>
      <c r="AA87" s="132">
        <f t="shared" si="82"/>
        <v>0</v>
      </c>
      <c r="AB87" s="132">
        <f t="shared" si="82"/>
        <v>0</v>
      </c>
      <c r="AC87" s="135"/>
      <c r="AD87" s="132"/>
      <c r="AE87" s="9"/>
    </row>
    <row r="88" spans="1:31">
      <c r="A88" s="88"/>
      <c r="B88" s="103"/>
      <c r="C88" s="114"/>
      <c r="D88" s="105"/>
      <c r="E88" s="105"/>
      <c r="F88" s="92" t="s">
        <v>99</v>
      </c>
      <c r="G88" s="92" t="s">
        <v>109</v>
      </c>
      <c r="H88" s="93" t="s">
        <v>23</v>
      </c>
      <c r="I88" s="106">
        <f>J88+K88+L88</f>
        <v>250</v>
      </c>
      <c r="J88" s="162">
        <v>250</v>
      </c>
      <c r="K88" s="162"/>
      <c r="L88" s="162"/>
      <c r="M88" s="163"/>
      <c r="N88" s="107">
        <f>O88+P88+Q88</f>
        <v>490.17599999999999</v>
      </c>
      <c r="O88" s="162">
        <v>490.17599999999999</v>
      </c>
      <c r="P88" s="162"/>
      <c r="Q88" s="162"/>
      <c r="R88" s="163"/>
      <c r="S88" s="107">
        <f>T88+U88+V88</f>
        <v>490.17599999999999</v>
      </c>
      <c r="T88" s="97">
        <v>490.17599999999999</v>
      </c>
      <c r="U88" s="97"/>
      <c r="V88" s="97"/>
      <c r="W88" s="163"/>
      <c r="X88" s="99" t="e">
        <f>(#REF!+#REF!)/(I88+M88)*100</f>
        <v>#REF!</v>
      </c>
      <c r="Y88" s="109">
        <f>Z88+AA88+AB88</f>
        <v>0</v>
      </c>
      <c r="Z88" s="97">
        <f t="shared" ref="Z88:AB90" si="83">O88-T88</f>
        <v>0</v>
      </c>
      <c r="AA88" s="97">
        <f t="shared" si="83"/>
        <v>0</v>
      </c>
      <c r="AB88" s="97">
        <f t="shared" si="83"/>
        <v>0</v>
      </c>
      <c r="AC88" s="110"/>
      <c r="AD88" s="132"/>
      <c r="AE88" s="9"/>
    </row>
    <row r="89" spans="1:31">
      <c r="A89" s="88"/>
      <c r="B89" s="103"/>
      <c r="C89" s="114"/>
      <c r="D89" s="105"/>
      <c r="E89" s="105"/>
      <c r="F89" s="92" t="s">
        <v>99</v>
      </c>
      <c r="G89" s="92" t="s">
        <v>114</v>
      </c>
      <c r="H89" s="93" t="s">
        <v>23</v>
      </c>
      <c r="I89" s="106">
        <f>J89+K89+L89</f>
        <v>0</v>
      </c>
      <c r="J89" s="123"/>
      <c r="K89" s="154"/>
      <c r="L89" s="154"/>
      <c r="M89" s="154"/>
      <c r="N89" s="107">
        <f>O89+P89+Q89</f>
        <v>0</v>
      </c>
      <c r="O89" s="123"/>
      <c r="P89" s="154"/>
      <c r="Q89" s="154"/>
      <c r="R89" s="154"/>
      <c r="S89" s="107">
        <f>T89+U89+V89</f>
        <v>0</v>
      </c>
      <c r="T89" s="97"/>
      <c r="U89" s="97"/>
      <c r="V89" s="97"/>
      <c r="W89" s="154"/>
      <c r="X89" s="99" t="e">
        <f>(#REF!+#REF!)/(I89+M89)*100</f>
        <v>#REF!</v>
      </c>
      <c r="Y89" s="109">
        <f t="shared" ref="Y89:Y93" si="84">Z89+AA89+AB89</f>
        <v>0</v>
      </c>
      <c r="Z89" s="97">
        <f t="shared" si="83"/>
        <v>0</v>
      </c>
      <c r="AA89" s="97">
        <f t="shared" si="83"/>
        <v>0</v>
      </c>
      <c r="AB89" s="97">
        <f t="shared" si="83"/>
        <v>0</v>
      </c>
      <c r="AC89" s="110"/>
      <c r="AD89" s="132"/>
      <c r="AE89" s="9"/>
    </row>
    <row r="90" spans="1:31">
      <c r="A90" s="88"/>
      <c r="B90" s="89"/>
      <c r="C90" s="114"/>
      <c r="D90" s="91"/>
      <c r="E90" s="91"/>
      <c r="F90" s="92" t="s">
        <v>99</v>
      </c>
      <c r="G90" s="92" t="s">
        <v>109</v>
      </c>
      <c r="H90" s="93" t="s">
        <v>23</v>
      </c>
      <c r="I90" s="106">
        <f>J90+K90+L90</f>
        <v>0</v>
      </c>
      <c r="J90" s="123"/>
      <c r="K90" s="154"/>
      <c r="L90" s="154"/>
      <c r="M90" s="154"/>
      <c r="N90" s="107">
        <f>O90+P90+Q90</f>
        <v>0</v>
      </c>
      <c r="O90" s="123"/>
      <c r="P90" s="154"/>
      <c r="Q90" s="154"/>
      <c r="R90" s="154"/>
      <c r="S90" s="107">
        <f>T90+U90+V90</f>
        <v>0</v>
      </c>
      <c r="T90" s="97"/>
      <c r="U90" s="97"/>
      <c r="V90" s="97"/>
      <c r="W90" s="154"/>
      <c r="X90" s="99" t="e">
        <f>(#REF!+#REF!)/(I90+M90)*100</f>
        <v>#REF!</v>
      </c>
      <c r="Y90" s="109">
        <f t="shared" si="84"/>
        <v>0</v>
      </c>
      <c r="Z90" s="97">
        <f t="shared" si="83"/>
        <v>0</v>
      </c>
      <c r="AA90" s="97">
        <f t="shared" si="83"/>
        <v>0</v>
      </c>
      <c r="AB90" s="97">
        <f t="shared" si="83"/>
        <v>0</v>
      </c>
      <c r="AC90" s="110"/>
      <c r="AD90" s="154"/>
      <c r="AE90" s="9"/>
    </row>
    <row r="91" spans="1:31">
      <c r="A91" s="88"/>
      <c r="B91" s="164" t="s">
        <v>47</v>
      </c>
      <c r="C91" s="79" t="s">
        <v>115</v>
      </c>
      <c r="D91" s="80" t="s">
        <v>30</v>
      </c>
      <c r="E91" s="80" t="s">
        <v>27</v>
      </c>
      <c r="F91" s="136" t="s">
        <v>99</v>
      </c>
      <c r="G91" s="136"/>
      <c r="H91" s="136"/>
      <c r="I91" s="131">
        <f t="shared" ref="I91" si="85">SUM(I92:I93)</f>
        <v>293</v>
      </c>
      <c r="J91" s="132">
        <f>SUM(J92:J93)</f>
        <v>205.1</v>
      </c>
      <c r="K91" s="132">
        <f t="shared" ref="K91:Y91" si="86">SUM(K92:K93)</f>
        <v>87.9</v>
      </c>
      <c r="L91" s="132">
        <f t="shared" si="86"/>
        <v>0</v>
      </c>
      <c r="M91" s="132">
        <f t="shared" si="86"/>
        <v>0</v>
      </c>
      <c r="N91" s="133">
        <f t="shared" si="86"/>
        <v>294</v>
      </c>
      <c r="O91" s="132">
        <f>SUM(O92:O93)</f>
        <v>205.1</v>
      </c>
      <c r="P91" s="132">
        <f t="shared" ref="P91:S91" si="87">SUM(P92:P93)</f>
        <v>88.9</v>
      </c>
      <c r="Q91" s="132">
        <f t="shared" si="87"/>
        <v>0</v>
      </c>
      <c r="R91" s="132">
        <f t="shared" si="87"/>
        <v>0</v>
      </c>
      <c r="S91" s="133">
        <f t="shared" si="87"/>
        <v>294</v>
      </c>
      <c r="T91" s="132">
        <f>SUM(T92:T93)</f>
        <v>205.1</v>
      </c>
      <c r="U91" s="132">
        <f t="shared" ref="U91:W91" si="88">SUM(U92:U93)</f>
        <v>88.9</v>
      </c>
      <c r="V91" s="132">
        <f t="shared" si="88"/>
        <v>0</v>
      </c>
      <c r="W91" s="132">
        <f t="shared" si="88"/>
        <v>0</v>
      </c>
      <c r="X91" s="85">
        <v>0</v>
      </c>
      <c r="Y91" s="160">
        <f t="shared" si="86"/>
        <v>0</v>
      </c>
      <c r="Z91" s="132">
        <f>SUM(Z92:Z93)</f>
        <v>0</v>
      </c>
      <c r="AA91" s="132">
        <f t="shared" ref="AA91:AB91" si="89">SUM(AA92:AA93)</f>
        <v>0</v>
      </c>
      <c r="AB91" s="132">
        <f t="shared" si="89"/>
        <v>0</v>
      </c>
      <c r="AC91" s="135"/>
      <c r="AD91" s="132"/>
      <c r="AE91" s="9"/>
    </row>
    <row r="92" spans="1:31">
      <c r="A92" s="88"/>
      <c r="B92" s="164"/>
      <c r="C92" s="114"/>
      <c r="D92" s="105"/>
      <c r="E92" s="105"/>
      <c r="F92" s="93" t="s">
        <v>99</v>
      </c>
      <c r="G92" s="93" t="s">
        <v>116</v>
      </c>
      <c r="H92" s="93" t="s">
        <v>23</v>
      </c>
      <c r="I92" s="106">
        <f>J92+K92+L92</f>
        <v>205.1</v>
      </c>
      <c r="J92" s="162">
        <v>205.1</v>
      </c>
      <c r="K92" s="162"/>
      <c r="L92" s="163"/>
      <c r="M92" s="163"/>
      <c r="N92" s="107">
        <f>O92+P92+Q92</f>
        <v>205.1</v>
      </c>
      <c r="O92" s="162">
        <v>205.1</v>
      </c>
      <c r="P92" s="162"/>
      <c r="Q92" s="163"/>
      <c r="R92" s="163"/>
      <c r="S92" s="107">
        <f>T92+U92+V92</f>
        <v>205.1</v>
      </c>
      <c r="T92" s="162">
        <v>205.1</v>
      </c>
      <c r="U92" s="162"/>
      <c r="V92" s="97"/>
      <c r="W92" s="163"/>
      <c r="X92" s="99">
        <v>0</v>
      </c>
      <c r="Y92" s="109">
        <f t="shared" si="84"/>
        <v>0</v>
      </c>
      <c r="Z92" s="97">
        <f t="shared" ref="Z92:AB93" si="90">O92-T92</f>
        <v>0</v>
      </c>
      <c r="AA92" s="97">
        <f t="shared" si="90"/>
        <v>0</v>
      </c>
      <c r="AB92" s="97">
        <f t="shared" si="90"/>
        <v>0</v>
      </c>
      <c r="AC92" s="110"/>
      <c r="AD92" s="132"/>
      <c r="AE92" s="9"/>
    </row>
    <row r="93" spans="1:31">
      <c r="A93" s="120"/>
      <c r="B93" s="164"/>
      <c r="C93" s="114"/>
      <c r="D93" s="91"/>
      <c r="E93" s="91"/>
      <c r="F93" s="93" t="s">
        <v>99</v>
      </c>
      <c r="G93" s="93" t="s">
        <v>112</v>
      </c>
      <c r="H93" s="93" t="s">
        <v>23</v>
      </c>
      <c r="I93" s="106">
        <f>J93+K93+L93</f>
        <v>87.9</v>
      </c>
      <c r="J93" s="123"/>
      <c r="K93" s="154">
        <v>87.9</v>
      </c>
      <c r="L93" s="154"/>
      <c r="M93" s="154"/>
      <c r="N93" s="107">
        <f>O93+P93+Q93</f>
        <v>88.9</v>
      </c>
      <c r="O93" s="123"/>
      <c r="P93" s="154">
        <v>88.9</v>
      </c>
      <c r="Q93" s="154"/>
      <c r="R93" s="154"/>
      <c r="S93" s="107">
        <f>T93+U93+V93</f>
        <v>88.9</v>
      </c>
      <c r="T93" s="123"/>
      <c r="U93" s="154">
        <v>88.9</v>
      </c>
      <c r="V93" s="97"/>
      <c r="W93" s="154"/>
      <c r="X93" s="99">
        <v>0</v>
      </c>
      <c r="Y93" s="109">
        <f t="shared" si="84"/>
        <v>0</v>
      </c>
      <c r="Z93" s="97">
        <f t="shared" si="90"/>
        <v>0</v>
      </c>
      <c r="AA93" s="97">
        <f t="shared" si="90"/>
        <v>0</v>
      </c>
      <c r="AB93" s="97">
        <f t="shared" si="90"/>
        <v>0</v>
      </c>
      <c r="AC93" s="110"/>
      <c r="AD93" s="154"/>
      <c r="AE93" s="9"/>
    </row>
    <row r="94" spans="1:31">
      <c r="A94" s="126">
        <v>4</v>
      </c>
      <c r="B94" s="165">
        <v>4</v>
      </c>
      <c r="C94" s="128" t="s">
        <v>117</v>
      </c>
      <c r="D94" s="147"/>
      <c r="E94" s="148"/>
      <c r="F94" s="73" t="s">
        <v>118</v>
      </c>
      <c r="G94" s="73" t="s">
        <v>22</v>
      </c>
      <c r="H94" s="73" t="s">
        <v>23</v>
      </c>
      <c r="I94" s="74">
        <f t="shared" ref="I94:AB94" si="91">I95</f>
        <v>1673.2000000000003</v>
      </c>
      <c r="J94" s="74">
        <f t="shared" si="91"/>
        <v>400</v>
      </c>
      <c r="K94" s="74">
        <f t="shared" si="91"/>
        <v>1273.2000000000003</v>
      </c>
      <c r="L94" s="74">
        <f t="shared" si="91"/>
        <v>0</v>
      </c>
      <c r="M94" s="74"/>
      <c r="N94" s="74">
        <f>N95</f>
        <v>1672.9</v>
      </c>
      <c r="O94" s="74">
        <f t="shared" si="91"/>
        <v>400</v>
      </c>
      <c r="P94" s="74">
        <f t="shared" si="91"/>
        <v>1272.9000000000001</v>
      </c>
      <c r="Q94" s="74">
        <f t="shared" si="91"/>
        <v>0</v>
      </c>
      <c r="R94" s="74">
        <f t="shared" si="91"/>
        <v>0</v>
      </c>
      <c r="S94" s="74">
        <f t="shared" si="91"/>
        <v>1635.09744</v>
      </c>
      <c r="T94" s="74">
        <f t="shared" si="91"/>
        <v>389.23450000000003</v>
      </c>
      <c r="U94" s="74">
        <f t="shared" si="91"/>
        <v>1245.86294</v>
      </c>
      <c r="V94" s="74">
        <f t="shared" si="91"/>
        <v>0</v>
      </c>
      <c r="W94" s="74">
        <f t="shared" si="91"/>
        <v>0</v>
      </c>
      <c r="X94" s="149" t="e">
        <f>(#REF!+#REF!)/(I94+M94)*100</f>
        <v>#REF!</v>
      </c>
      <c r="Y94" s="74">
        <f t="shared" si="91"/>
        <v>37.802560000000028</v>
      </c>
      <c r="Z94" s="74">
        <f t="shared" si="91"/>
        <v>10.765499999999975</v>
      </c>
      <c r="AA94" s="74">
        <f t="shared" si="91"/>
        <v>27.037060000000054</v>
      </c>
      <c r="AB94" s="74">
        <f t="shared" si="91"/>
        <v>0</v>
      </c>
      <c r="AC94" s="76" t="e">
        <f>#REF!/I94*100</f>
        <v>#REF!</v>
      </c>
      <c r="AD94" s="74"/>
      <c r="AE94" s="9"/>
    </row>
    <row r="95" spans="1:31">
      <c r="A95" s="77"/>
      <c r="B95" s="78" t="s">
        <v>24</v>
      </c>
      <c r="C95" s="79" t="s">
        <v>119</v>
      </c>
      <c r="D95" s="151" t="s">
        <v>30</v>
      </c>
      <c r="E95" s="151" t="s">
        <v>27</v>
      </c>
      <c r="F95" s="136" t="s">
        <v>118</v>
      </c>
      <c r="G95" s="136"/>
      <c r="H95" s="136"/>
      <c r="I95" s="131">
        <f>SUM(I96:I100)</f>
        <v>1673.2000000000003</v>
      </c>
      <c r="J95" s="132">
        <f>SUM(J96:J100)</f>
        <v>400</v>
      </c>
      <c r="K95" s="132">
        <f t="shared" ref="K95:L95" si="92">SUM(K96:K100)</f>
        <v>1273.2000000000003</v>
      </c>
      <c r="L95" s="132">
        <f t="shared" si="92"/>
        <v>0</v>
      </c>
      <c r="M95" s="132"/>
      <c r="N95" s="133">
        <f>SUM(N96:N100)</f>
        <v>1672.9</v>
      </c>
      <c r="O95" s="132">
        <f>SUM(O96:O100)</f>
        <v>400</v>
      </c>
      <c r="P95" s="132">
        <f t="shared" ref="P95:Q95" si="93">SUM(P96:P100)</f>
        <v>1272.9000000000001</v>
      </c>
      <c r="Q95" s="132">
        <f t="shared" si="93"/>
        <v>0</v>
      </c>
      <c r="R95" s="132"/>
      <c r="S95" s="133">
        <f>SUM(S96:S100)</f>
        <v>1635.09744</v>
      </c>
      <c r="T95" s="132">
        <f t="shared" ref="T95:V95" si="94">SUM(T96:T100)</f>
        <v>389.23450000000003</v>
      </c>
      <c r="U95" s="132">
        <f t="shared" si="94"/>
        <v>1245.86294</v>
      </c>
      <c r="V95" s="132">
        <f t="shared" si="94"/>
        <v>0</v>
      </c>
      <c r="W95" s="132"/>
      <c r="X95" s="85" t="e">
        <f>(#REF!+#REF!)/(I95+M95)*100</f>
        <v>#REF!</v>
      </c>
      <c r="Y95" s="134">
        <f>SUM(Y96:Y100)</f>
        <v>37.802560000000028</v>
      </c>
      <c r="Z95" s="132">
        <f t="shared" ref="Z95:AB95" si="95">SUM(Z96:Z100)</f>
        <v>10.765499999999975</v>
      </c>
      <c r="AA95" s="132">
        <f t="shared" si="95"/>
        <v>27.037060000000054</v>
      </c>
      <c r="AB95" s="132">
        <f t="shared" si="95"/>
        <v>0</v>
      </c>
      <c r="AC95" s="135"/>
      <c r="AD95" s="132"/>
      <c r="AE95" s="9"/>
    </row>
    <row r="96" spans="1:31">
      <c r="A96" s="88"/>
      <c r="B96" s="103"/>
      <c r="C96" s="114"/>
      <c r="D96" s="153"/>
      <c r="E96" s="153"/>
      <c r="F96" s="93" t="s">
        <v>118</v>
      </c>
      <c r="G96" s="93" t="s">
        <v>120</v>
      </c>
      <c r="H96" s="93" t="s">
        <v>23</v>
      </c>
      <c r="I96" s="166">
        <f>SUM(J96:L96)</f>
        <v>400</v>
      </c>
      <c r="J96" s="154">
        <v>400</v>
      </c>
      <c r="K96" s="154"/>
      <c r="L96" s="154"/>
      <c r="M96" s="154"/>
      <c r="N96" s="167">
        <f>SUM(O96:Q96)</f>
        <v>400</v>
      </c>
      <c r="O96" s="154">
        <v>400</v>
      </c>
      <c r="P96" s="154"/>
      <c r="Q96" s="154"/>
      <c r="R96" s="154"/>
      <c r="S96" s="167">
        <f>SUM(T96:V96)</f>
        <v>389.23450000000003</v>
      </c>
      <c r="T96" s="97">
        <v>389.23450000000003</v>
      </c>
      <c r="U96" s="97"/>
      <c r="V96" s="97"/>
      <c r="W96" s="154"/>
      <c r="X96" s="99" t="e">
        <f>(#REF!+#REF!)/(I96+M96)*100</f>
        <v>#REF!</v>
      </c>
      <c r="Y96" s="109">
        <f t="shared" ref="Y96:Y100" si="96">Z96+AA96+AB96</f>
        <v>10.765499999999975</v>
      </c>
      <c r="Z96" s="97">
        <f t="shared" ref="Z96:AB100" si="97">O96-T96</f>
        <v>10.765499999999975</v>
      </c>
      <c r="AA96" s="97">
        <f t="shared" si="97"/>
        <v>0</v>
      </c>
      <c r="AB96" s="97">
        <f t="shared" si="97"/>
        <v>0</v>
      </c>
      <c r="AC96" s="110"/>
      <c r="AD96" s="154"/>
      <c r="AE96" s="9"/>
    </row>
    <row r="97" spans="1:31">
      <c r="A97" s="88"/>
      <c r="B97" s="103"/>
      <c r="C97" s="114"/>
      <c r="D97" s="153"/>
      <c r="E97" s="153"/>
      <c r="F97" s="93" t="s">
        <v>118</v>
      </c>
      <c r="G97" s="93" t="s">
        <v>121</v>
      </c>
      <c r="H97" s="93" t="s">
        <v>23</v>
      </c>
      <c r="I97" s="166">
        <f>SUM(J97:L97)</f>
        <v>436.6</v>
      </c>
      <c r="J97" s="154"/>
      <c r="K97" s="154">
        <f>436.6</f>
        <v>436.6</v>
      </c>
      <c r="L97" s="154"/>
      <c r="M97" s="154"/>
      <c r="N97" s="167">
        <f>SUM(O97:Q97)</f>
        <v>436.3</v>
      </c>
      <c r="O97" s="154"/>
      <c r="P97" s="154">
        <f>436.3</f>
        <v>436.3</v>
      </c>
      <c r="Q97" s="154"/>
      <c r="R97" s="154"/>
      <c r="S97" s="167">
        <f>SUM(T97:V97)</f>
        <v>424.42056000000002</v>
      </c>
      <c r="T97" s="97"/>
      <c r="U97" s="97">
        <v>424.42056000000002</v>
      </c>
      <c r="V97" s="97"/>
      <c r="W97" s="154"/>
      <c r="X97" s="99" t="e">
        <f>(#REF!+#REF!)/(I97+M97)*100</f>
        <v>#REF!</v>
      </c>
      <c r="Y97" s="109">
        <f t="shared" si="96"/>
        <v>11.879439999999988</v>
      </c>
      <c r="Z97" s="97">
        <f t="shared" si="97"/>
        <v>0</v>
      </c>
      <c r="AA97" s="97">
        <f t="shared" si="97"/>
        <v>11.879439999999988</v>
      </c>
      <c r="AB97" s="97">
        <f t="shared" si="97"/>
        <v>0</v>
      </c>
      <c r="AC97" s="110"/>
      <c r="AD97" s="154"/>
      <c r="AE97" s="9"/>
    </row>
    <row r="98" spans="1:31">
      <c r="A98" s="88"/>
      <c r="B98" s="103"/>
      <c r="C98" s="114"/>
      <c r="D98" s="153"/>
      <c r="E98" s="153"/>
      <c r="F98" s="93" t="s">
        <v>118</v>
      </c>
      <c r="G98" s="93" t="s">
        <v>122</v>
      </c>
      <c r="H98" s="93" t="s">
        <v>23</v>
      </c>
      <c r="I98" s="166">
        <f>SUM(J98:L98)</f>
        <v>824.2</v>
      </c>
      <c r="J98" s="154"/>
      <c r="K98" s="154">
        <v>824.2</v>
      </c>
      <c r="L98" s="154"/>
      <c r="M98" s="154"/>
      <c r="N98" s="167">
        <f>SUM(O98:Q98)</f>
        <v>824.2</v>
      </c>
      <c r="O98" s="154"/>
      <c r="P98" s="154">
        <v>824.2</v>
      </c>
      <c r="Q98" s="154"/>
      <c r="R98" s="154"/>
      <c r="S98" s="167">
        <f>SUM(T98:V98)</f>
        <v>809.04237999999998</v>
      </c>
      <c r="T98" s="97"/>
      <c r="U98" s="97">
        <v>809.04237999999998</v>
      </c>
      <c r="V98" s="97"/>
      <c r="W98" s="154"/>
      <c r="X98" s="99" t="e">
        <f>(#REF!+#REF!)/(I98+M98)*100</f>
        <v>#REF!</v>
      </c>
      <c r="Y98" s="109">
        <f t="shared" si="96"/>
        <v>15.157620000000065</v>
      </c>
      <c r="Z98" s="97">
        <f t="shared" si="97"/>
        <v>0</v>
      </c>
      <c r="AA98" s="97">
        <f t="shared" si="97"/>
        <v>15.157620000000065</v>
      </c>
      <c r="AB98" s="97">
        <f t="shared" si="97"/>
        <v>0</v>
      </c>
      <c r="AC98" s="110"/>
      <c r="AD98" s="154"/>
      <c r="AE98" s="9"/>
    </row>
    <row r="99" spans="1:31">
      <c r="A99" s="88"/>
      <c r="B99" s="103"/>
      <c r="C99" s="114"/>
      <c r="D99" s="153"/>
      <c r="E99" s="153"/>
      <c r="F99" s="93" t="s">
        <v>118</v>
      </c>
      <c r="G99" s="93" t="s">
        <v>123</v>
      </c>
      <c r="H99" s="93" t="s">
        <v>23</v>
      </c>
      <c r="I99" s="166">
        <f>SUM(J99:L99)</f>
        <v>12.4</v>
      </c>
      <c r="J99" s="154"/>
      <c r="K99" s="154">
        <v>12.4</v>
      </c>
      <c r="L99" s="154"/>
      <c r="M99" s="154"/>
      <c r="N99" s="167">
        <f>SUM(O99:Q99)</f>
        <v>12.4</v>
      </c>
      <c r="O99" s="154"/>
      <c r="P99" s="154">
        <v>12.4</v>
      </c>
      <c r="Q99" s="154"/>
      <c r="R99" s="154"/>
      <c r="S99" s="167">
        <f>SUM(T99:V99)</f>
        <v>12.4</v>
      </c>
      <c r="T99" s="97"/>
      <c r="U99" s="97">
        <v>12.4</v>
      </c>
      <c r="V99" s="97"/>
      <c r="W99" s="154"/>
      <c r="X99" s="99">
        <v>0</v>
      </c>
      <c r="Y99" s="109">
        <f t="shared" si="96"/>
        <v>0</v>
      </c>
      <c r="Z99" s="97">
        <f t="shared" si="97"/>
        <v>0</v>
      </c>
      <c r="AA99" s="97">
        <f t="shared" si="97"/>
        <v>0</v>
      </c>
      <c r="AB99" s="97">
        <f t="shared" si="97"/>
        <v>0</v>
      </c>
      <c r="AC99" s="110"/>
      <c r="AD99" s="154"/>
      <c r="AE99" s="9"/>
    </row>
    <row r="100" spans="1:31">
      <c r="A100" s="120"/>
      <c r="B100" s="103"/>
      <c r="C100" s="90"/>
      <c r="D100" s="156"/>
      <c r="E100" s="156"/>
      <c r="F100" s="93" t="s">
        <v>118</v>
      </c>
      <c r="G100" s="93" t="s">
        <v>123</v>
      </c>
      <c r="H100" s="93" t="s">
        <v>23</v>
      </c>
      <c r="I100" s="166">
        <f>SUM(J100:L100)</f>
        <v>0</v>
      </c>
      <c r="J100" s="154"/>
      <c r="K100" s="154"/>
      <c r="L100" s="154"/>
      <c r="M100" s="154"/>
      <c r="N100" s="167">
        <f>SUM(O100:Q100)</f>
        <v>0</v>
      </c>
      <c r="O100" s="154"/>
      <c r="P100" s="154"/>
      <c r="Q100" s="154"/>
      <c r="R100" s="154"/>
      <c r="S100" s="167">
        <f>SUM(T100:V100)</f>
        <v>0</v>
      </c>
      <c r="T100" s="97"/>
      <c r="U100" s="97"/>
      <c r="V100" s="97"/>
      <c r="W100" s="154"/>
      <c r="X100" s="99" t="e">
        <f>(#REF!+#REF!)/(I100+M100)*100</f>
        <v>#REF!</v>
      </c>
      <c r="Y100" s="109">
        <f t="shared" si="96"/>
        <v>0</v>
      </c>
      <c r="Z100" s="97">
        <f t="shared" si="97"/>
        <v>0</v>
      </c>
      <c r="AA100" s="97">
        <f t="shared" si="97"/>
        <v>0</v>
      </c>
      <c r="AB100" s="97">
        <f t="shared" si="97"/>
        <v>0</v>
      </c>
      <c r="AC100" s="110"/>
      <c r="AD100" s="154"/>
      <c r="AE100" s="9"/>
    </row>
    <row r="101" spans="1:31">
      <c r="A101" s="126">
        <v>5</v>
      </c>
      <c r="B101" s="165"/>
      <c r="C101" s="128" t="s">
        <v>124</v>
      </c>
      <c r="D101" s="147"/>
      <c r="E101" s="148"/>
      <c r="F101" s="168" t="s">
        <v>125</v>
      </c>
      <c r="G101" s="73" t="s">
        <v>22</v>
      </c>
      <c r="H101" s="73" t="s">
        <v>23</v>
      </c>
      <c r="I101" s="74">
        <f t="shared" ref="I101:L101" si="98">I102+I113</f>
        <v>8073.0290000000005</v>
      </c>
      <c r="J101" s="74">
        <f t="shared" si="98"/>
        <v>5545.6460000000006</v>
      </c>
      <c r="K101" s="74">
        <f t="shared" si="98"/>
        <v>2527.3830000000003</v>
      </c>
      <c r="L101" s="74">
        <f t="shared" si="98"/>
        <v>0</v>
      </c>
      <c r="M101" s="74"/>
      <c r="N101" s="74">
        <f>N102+N113+N115</f>
        <v>15454.142270000002</v>
      </c>
      <c r="O101" s="74">
        <f t="shared" ref="O101:V101" si="99">O102+O113+O115</f>
        <v>9629.9650100000017</v>
      </c>
      <c r="P101" s="74">
        <f t="shared" si="99"/>
        <v>3328.0082599999996</v>
      </c>
      <c r="Q101" s="74">
        <f t="shared" si="99"/>
        <v>2496.1689999999999</v>
      </c>
      <c r="R101" s="74">
        <f t="shared" si="99"/>
        <v>0</v>
      </c>
      <c r="S101" s="74">
        <f>S102+S113+S115</f>
        <v>14858.442260000003</v>
      </c>
      <c r="T101" s="74">
        <f t="shared" si="99"/>
        <v>9034.265010000001</v>
      </c>
      <c r="U101" s="74">
        <f t="shared" si="99"/>
        <v>3328.0082499999994</v>
      </c>
      <c r="V101" s="74">
        <f t="shared" si="99"/>
        <v>2496.1689999999999</v>
      </c>
      <c r="W101" s="74">
        <f t="shared" ref="W101" si="100">W102+W113</f>
        <v>0</v>
      </c>
      <c r="X101" s="149" t="e">
        <f>(#REF!+#REF!)/(I101+M101)*100</f>
        <v>#REF!</v>
      </c>
      <c r="Y101" s="74">
        <f>Y102+Y113+Y115</f>
        <v>595.70000999999979</v>
      </c>
      <c r="Z101" s="74">
        <f t="shared" ref="Z101:AB101" si="101">Z102+Z113</f>
        <v>595.69999999999982</v>
      </c>
      <c r="AA101" s="74">
        <f t="shared" si="101"/>
        <v>9.9999999996214228E-6</v>
      </c>
      <c r="AB101" s="74">
        <f t="shared" si="101"/>
        <v>0</v>
      </c>
      <c r="AC101" s="76" t="e">
        <f>#REF!/I101*100</f>
        <v>#REF!</v>
      </c>
      <c r="AD101" s="74"/>
      <c r="AE101" s="9"/>
    </row>
    <row r="102" spans="1:31">
      <c r="A102" s="77"/>
      <c r="B102" s="78" t="s">
        <v>24</v>
      </c>
      <c r="C102" s="79" t="s">
        <v>126</v>
      </c>
      <c r="D102" s="80" t="s">
        <v>30</v>
      </c>
      <c r="E102" s="80" t="s">
        <v>27</v>
      </c>
      <c r="F102" s="136" t="s">
        <v>125</v>
      </c>
      <c r="G102" s="136"/>
      <c r="H102" s="136"/>
      <c r="I102" s="131">
        <f>SUM(I103:I112)</f>
        <v>8073.0290000000005</v>
      </c>
      <c r="J102" s="132">
        <f>SUM(J103:J112)</f>
        <v>5545.6460000000006</v>
      </c>
      <c r="K102" s="132">
        <f t="shared" ref="K102:L102" si="102">SUM(K103:K112)</f>
        <v>2527.3830000000003</v>
      </c>
      <c r="L102" s="132">
        <f t="shared" si="102"/>
        <v>0</v>
      </c>
      <c r="M102" s="132"/>
      <c r="N102" s="133">
        <f>SUM(N103:N112)</f>
        <v>12800.621270000001</v>
      </c>
      <c r="O102" s="132">
        <f>SUM(O103:O112)</f>
        <v>9456.274010000001</v>
      </c>
      <c r="P102" s="132">
        <f t="shared" ref="P102:Q102" si="103">SUM(P103:P112)</f>
        <v>3303.1782599999997</v>
      </c>
      <c r="Q102" s="132">
        <f t="shared" si="103"/>
        <v>41.168999999999997</v>
      </c>
      <c r="R102" s="132"/>
      <c r="S102" s="133">
        <f>SUM(S103:S112)</f>
        <v>12204.921260000003</v>
      </c>
      <c r="T102" s="132">
        <f>SUM(T103:T112)</f>
        <v>8860.5740100000003</v>
      </c>
      <c r="U102" s="132">
        <f t="shared" ref="U102:V102" si="104">SUM(U103:U112)</f>
        <v>3303.1782499999995</v>
      </c>
      <c r="V102" s="132">
        <f t="shared" si="104"/>
        <v>41.168999999999997</v>
      </c>
      <c r="W102" s="132"/>
      <c r="X102" s="85" t="e">
        <f>(#REF!+#REF!)/(I102+M102)*100</f>
        <v>#REF!</v>
      </c>
      <c r="Y102" s="134">
        <f>SUM(Y103:Y112)</f>
        <v>595.70000999999979</v>
      </c>
      <c r="Z102" s="132">
        <f>SUM(Z103:Z112)</f>
        <v>595.69999999999982</v>
      </c>
      <c r="AA102" s="132">
        <f t="shared" ref="AA102:AB102" si="105">SUM(AA103:AA112)</f>
        <v>9.9999999996214228E-6</v>
      </c>
      <c r="AB102" s="132">
        <f t="shared" si="105"/>
        <v>0</v>
      </c>
      <c r="AC102" s="135"/>
      <c r="AD102" s="132"/>
      <c r="AE102" s="9"/>
    </row>
    <row r="103" spans="1:31">
      <c r="A103" s="88"/>
      <c r="B103" s="103"/>
      <c r="C103" s="114"/>
      <c r="D103" s="105"/>
      <c r="E103" s="105"/>
      <c r="F103" s="93" t="s">
        <v>125</v>
      </c>
      <c r="G103" s="93" t="s">
        <v>127</v>
      </c>
      <c r="H103" s="93" t="s">
        <v>23</v>
      </c>
      <c r="I103" s="166">
        <f t="shared" ref="I103:I108" si="106">SUM(J103:L103)</f>
        <v>3382.0030000000002</v>
      </c>
      <c r="J103" s="123">
        <f>2003.97+87+605.198+315.964+361.571+8.3</f>
        <v>3382.0030000000002</v>
      </c>
      <c r="K103" s="154"/>
      <c r="L103" s="154"/>
      <c r="M103" s="154"/>
      <c r="N103" s="167">
        <f t="shared" ref="N103:N108" si="107">SUM(O103:Q103)</f>
        <v>7283.5760099999998</v>
      </c>
      <c r="O103" s="123">
        <v>7283.5760099999998</v>
      </c>
      <c r="P103" s="154"/>
      <c r="Q103" s="154"/>
      <c r="R103" s="154"/>
      <c r="S103" s="167">
        <f t="shared" ref="S103:S108" si="108">SUM(T103:V103)</f>
        <v>6687.87601</v>
      </c>
      <c r="T103" s="97">
        <v>6687.87601</v>
      </c>
      <c r="U103" s="97"/>
      <c r="V103" s="97"/>
      <c r="W103" s="154"/>
      <c r="X103" s="99" t="e">
        <f>(#REF!+#REF!)/(I103+M103)*100</f>
        <v>#REF!</v>
      </c>
      <c r="Y103" s="109">
        <f t="shared" ref="Y103:Y114" si="109">Z103+AA103+AB103</f>
        <v>595.69999999999982</v>
      </c>
      <c r="Z103" s="97">
        <f t="shared" ref="Z103:AB112" si="110">O103-T103</f>
        <v>595.69999999999982</v>
      </c>
      <c r="AA103" s="97">
        <f t="shared" si="110"/>
        <v>0</v>
      </c>
      <c r="AB103" s="97">
        <f t="shared" si="110"/>
        <v>0</v>
      </c>
      <c r="AC103" s="110"/>
      <c r="AD103" s="154"/>
      <c r="AE103" s="9"/>
    </row>
    <row r="104" spans="1:31">
      <c r="A104" s="88"/>
      <c r="B104" s="103"/>
      <c r="C104" s="114"/>
      <c r="D104" s="105"/>
      <c r="E104" s="105"/>
      <c r="F104" s="93" t="s">
        <v>125</v>
      </c>
      <c r="G104" s="93" t="s">
        <v>128</v>
      </c>
      <c r="H104" s="93" t="s">
        <v>23</v>
      </c>
      <c r="I104" s="166">
        <f t="shared" si="106"/>
        <v>2301.1310000000003</v>
      </c>
      <c r="J104" s="123"/>
      <c r="K104" s="123">
        <f>1767.38+533.751</f>
        <v>2301.1310000000003</v>
      </c>
      <c r="L104" s="154"/>
      <c r="M104" s="154"/>
      <c r="N104" s="167">
        <f t="shared" si="107"/>
        <v>2459.2208799999999</v>
      </c>
      <c r="O104" s="123"/>
      <c r="P104" s="123">
        <v>2459.2208799999999</v>
      </c>
      <c r="Q104" s="154"/>
      <c r="R104" s="154"/>
      <c r="S104" s="167">
        <f t="shared" si="108"/>
        <v>2459.2208799999999</v>
      </c>
      <c r="T104" s="97"/>
      <c r="U104" s="97">
        <v>2459.2208799999999</v>
      </c>
      <c r="V104" s="97"/>
      <c r="W104" s="154"/>
      <c r="X104" s="99" t="e">
        <f>(#REF!+#REF!)/(I104+M104)*100</f>
        <v>#REF!</v>
      </c>
      <c r="Y104" s="109">
        <f t="shared" si="109"/>
        <v>0</v>
      </c>
      <c r="Z104" s="97">
        <f t="shared" si="110"/>
        <v>0</v>
      </c>
      <c r="AA104" s="97">
        <f t="shared" si="110"/>
        <v>0</v>
      </c>
      <c r="AB104" s="97">
        <f t="shared" si="110"/>
        <v>0</v>
      </c>
      <c r="AC104" s="110"/>
      <c r="AD104" s="154"/>
      <c r="AE104" s="9"/>
    </row>
    <row r="105" spans="1:31">
      <c r="A105" s="88"/>
      <c r="B105" s="103"/>
      <c r="C105" s="114"/>
      <c r="D105" s="105"/>
      <c r="E105" s="105"/>
      <c r="F105" s="93" t="s">
        <v>125</v>
      </c>
      <c r="G105" s="93" t="s">
        <v>129</v>
      </c>
      <c r="H105" s="93" t="s">
        <v>23</v>
      </c>
      <c r="I105" s="166">
        <f t="shared" ref="I105" si="111">SUM(J105:L105)</f>
        <v>0</v>
      </c>
      <c r="J105" s="123"/>
      <c r="K105" s="154"/>
      <c r="L105" s="154"/>
      <c r="M105" s="154"/>
      <c r="N105" s="167">
        <f t="shared" ref="N105" si="112">SUM(O105:Q105)</f>
        <v>41.168999999999997</v>
      </c>
      <c r="O105" s="123"/>
      <c r="P105" s="154"/>
      <c r="Q105" s="154">
        <v>41.168999999999997</v>
      </c>
      <c r="R105" s="154"/>
      <c r="S105" s="167">
        <f t="shared" ref="S105" si="113">SUM(T105:V105)</f>
        <v>41.168999999999997</v>
      </c>
      <c r="T105" s="97"/>
      <c r="U105" s="97"/>
      <c r="V105" s="97">
        <v>41.168999999999997</v>
      </c>
      <c r="W105" s="154"/>
      <c r="X105" s="99" t="e">
        <f>(#REF!+#REF!)/(I105+M105)*100</f>
        <v>#REF!</v>
      </c>
      <c r="Y105" s="109">
        <f t="shared" si="109"/>
        <v>0</v>
      </c>
      <c r="Z105" s="97">
        <f t="shared" si="110"/>
        <v>0</v>
      </c>
      <c r="AA105" s="97">
        <f t="shared" si="110"/>
        <v>0</v>
      </c>
      <c r="AB105" s="97">
        <f t="shared" si="110"/>
        <v>0</v>
      </c>
      <c r="AC105" s="110"/>
      <c r="AD105" s="154"/>
      <c r="AE105" s="9"/>
    </row>
    <row r="106" spans="1:31">
      <c r="A106" s="88"/>
      <c r="B106" s="103"/>
      <c r="C106" s="114"/>
      <c r="D106" s="105"/>
      <c r="E106" s="105"/>
      <c r="F106" s="93" t="s">
        <v>125</v>
      </c>
      <c r="G106" s="93" t="s">
        <v>130</v>
      </c>
      <c r="H106" s="93" t="s">
        <v>23</v>
      </c>
      <c r="I106" s="166">
        <f t="shared" si="106"/>
        <v>16.5</v>
      </c>
      <c r="J106" s="123"/>
      <c r="K106" s="154">
        <v>16.5</v>
      </c>
      <c r="L106" s="154"/>
      <c r="M106" s="154"/>
      <c r="N106" s="167">
        <f t="shared" si="107"/>
        <v>14.6</v>
      </c>
      <c r="O106" s="123"/>
      <c r="P106" s="154">
        <v>14.6</v>
      </c>
      <c r="Q106" s="154"/>
      <c r="R106" s="154"/>
      <c r="S106" s="167">
        <f t="shared" si="108"/>
        <v>14.6</v>
      </c>
      <c r="T106" s="97"/>
      <c r="U106" s="97">
        <v>14.6</v>
      </c>
      <c r="V106" s="97"/>
      <c r="W106" s="154"/>
      <c r="X106" s="99" t="e">
        <f>(#REF!+#REF!)/(I106+M106)*100</f>
        <v>#REF!</v>
      </c>
      <c r="Y106" s="109">
        <f t="shared" si="109"/>
        <v>0</v>
      </c>
      <c r="Z106" s="97">
        <f t="shared" si="110"/>
        <v>0</v>
      </c>
      <c r="AA106" s="97">
        <f t="shared" si="110"/>
        <v>0</v>
      </c>
      <c r="AB106" s="97">
        <f t="shared" si="110"/>
        <v>0</v>
      </c>
      <c r="AC106" s="110"/>
      <c r="AD106" s="154"/>
      <c r="AE106" s="9"/>
    </row>
    <row r="107" spans="1:31">
      <c r="A107" s="88"/>
      <c r="B107" s="103"/>
      <c r="C107" s="114"/>
      <c r="D107" s="105"/>
      <c r="E107" s="105"/>
      <c r="F107" s="93" t="s">
        <v>125</v>
      </c>
      <c r="G107" s="93" t="s">
        <v>131</v>
      </c>
      <c r="H107" s="93" t="s">
        <v>23</v>
      </c>
      <c r="I107" s="166">
        <f t="shared" si="106"/>
        <v>6.5</v>
      </c>
      <c r="J107" s="123"/>
      <c r="K107" s="154">
        <v>6.5</v>
      </c>
      <c r="L107" s="154"/>
      <c r="M107" s="154"/>
      <c r="N107" s="167">
        <f t="shared" si="107"/>
        <v>6.5</v>
      </c>
      <c r="O107" s="123"/>
      <c r="P107" s="154">
        <v>6.5</v>
      </c>
      <c r="Q107" s="154"/>
      <c r="R107" s="154"/>
      <c r="S107" s="167">
        <f t="shared" si="108"/>
        <v>6.5</v>
      </c>
      <c r="T107" s="97"/>
      <c r="U107" s="97">
        <v>6.5</v>
      </c>
      <c r="V107" s="97"/>
      <c r="W107" s="154"/>
      <c r="X107" s="99" t="e">
        <f>(#REF!+#REF!)/(I107+M107)*100</f>
        <v>#REF!</v>
      </c>
      <c r="Y107" s="109">
        <f t="shared" si="109"/>
        <v>0</v>
      </c>
      <c r="Z107" s="97">
        <f t="shared" si="110"/>
        <v>0</v>
      </c>
      <c r="AA107" s="97">
        <f t="shared" si="110"/>
        <v>0</v>
      </c>
      <c r="AB107" s="97">
        <f t="shared" si="110"/>
        <v>0</v>
      </c>
      <c r="AC107" s="110"/>
      <c r="AD107" s="154"/>
      <c r="AE107" s="9"/>
    </row>
    <row r="108" spans="1:31">
      <c r="A108" s="88"/>
      <c r="B108" s="103"/>
      <c r="C108" s="114"/>
      <c r="D108" s="105"/>
      <c r="E108" s="105"/>
      <c r="F108" s="93" t="s">
        <v>125</v>
      </c>
      <c r="G108" s="93" t="s">
        <v>132</v>
      </c>
      <c r="H108" s="93" t="s">
        <v>23</v>
      </c>
      <c r="I108" s="166">
        <f t="shared" si="106"/>
        <v>0</v>
      </c>
      <c r="J108" s="123"/>
      <c r="K108" s="154"/>
      <c r="L108" s="154"/>
      <c r="M108" s="154"/>
      <c r="N108" s="167">
        <f t="shared" si="107"/>
        <v>10.014379999999999</v>
      </c>
      <c r="O108" s="123"/>
      <c r="P108" s="154">
        <v>10.014379999999999</v>
      </c>
      <c r="Q108" s="154"/>
      <c r="R108" s="154"/>
      <c r="S108" s="167">
        <f t="shared" si="108"/>
        <v>10.01437</v>
      </c>
      <c r="T108" s="97"/>
      <c r="U108" s="97">
        <v>10.01437</v>
      </c>
      <c r="V108" s="97"/>
      <c r="W108" s="154"/>
      <c r="X108" s="99" t="e">
        <f>(#REF!+#REF!)/(I108+M108)*100</f>
        <v>#REF!</v>
      </c>
      <c r="Y108" s="109">
        <f t="shared" si="109"/>
        <v>9.9999999996214228E-6</v>
      </c>
      <c r="Z108" s="97">
        <f t="shared" si="110"/>
        <v>0</v>
      </c>
      <c r="AA108" s="97">
        <f t="shared" si="110"/>
        <v>9.9999999996214228E-6</v>
      </c>
      <c r="AB108" s="97">
        <f t="shared" si="110"/>
        <v>0</v>
      </c>
      <c r="AC108" s="110"/>
      <c r="AD108" s="154"/>
      <c r="AE108" s="9"/>
    </row>
    <row r="109" spans="1:31">
      <c r="A109" s="88"/>
      <c r="B109" s="103"/>
      <c r="C109" s="114"/>
      <c r="D109" s="105"/>
      <c r="E109" s="105"/>
      <c r="F109" s="93" t="s">
        <v>125</v>
      </c>
      <c r="G109" s="92" t="s">
        <v>133</v>
      </c>
      <c r="H109" s="93" t="s">
        <v>23</v>
      </c>
      <c r="I109" s="166">
        <f t="shared" ref="I109" si="114">SUM(J109:L109)</f>
        <v>203.25200000000001</v>
      </c>
      <c r="J109" s="123"/>
      <c r="K109" s="154">
        <f>156.107+47.145</f>
        <v>203.25200000000001</v>
      </c>
      <c r="L109" s="154"/>
      <c r="M109" s="154"/>
      <c r="N109" s="167">
        <f t="shared" ref="N109" si="115">SUM(O109:Q109)</f>
        <v>203.25200000000001</v>
      </c>
      <c r="O109" s="123"/>
      <c r="P109" s="154">
        <f>156.107+47.145</f>
        <v>203.25200000000001</v>
      </c>
      <c r="Q109" s="154"/>
      <c r="R109" s="154"/>
      <c r="S109" s="167">
        <f t="shared" ref="S109" si="116">SUM(T109:V109)</f>
        <v>203.25200000000001</v>
      </c>
      <c r="T109" s="97"/>
      <c r="U109" s="97">
        <v>203.25200000000001</v>
      </c>
      <c r="V109" s="97"/>
      <c r="W109" s="154"/>
      <c r="X109" s="99" t="e">
        <f>(#REF!+#REF!)/(I109+M109)*100</f>
        <v>#REF!</v>
      </c>
      <c r="Y109" s="109">
        <f t="shared" si="109"/>
        <v>0</v>
      </c>
      <c r="Z109" s="97">
        <f t="shared" si="110"/>
        <v>0</v>
      </c>
      <c r="AA109" s="97">
        <f t="shared" si="110"/>
        <v>0</v>
      </c>
      <c r="AB109" s="97">
        <f t="shared" si="110"/>
        <v>0</v>
      </c>
      <c r="AC109" s="110"/>
      <c r="AD109" s="154"/>
      <c r="AE109" s="9"/>
    </row>
    <row r="110" spans="1:31">
      <c r="A110" s="88"/>
      <c r="B110" s="103"/>
      <c r="C110" s="114"/>
      <c r="D110" s="105"/>
      <c r="E110" s="105"/>
      <c r="F110" s="93" t="s">
        <v>125</v>
      </c>
      <c r="G110" s="93" t="s">
        <v>134</v>
      </c>
      <c r="H110" s="93" t="s">
        <v>23</v>
      </c>
      <c r="I110" s="166">
        <f>SUM(J110:L110)</f>
        <v>0</v>
      </c>
      <c r="J110" s="123"/>
      <c r="K110" s="154"/>
      <c r="L110" s="154"/>
      <c r="M110" s="154"/>
      <c r="N110" s="167">
        <f>SUM(O110:Q110)</f>
        <v>2.125</v>
      </c>
      <c r="O110" s="123">
        <v>2.125</v>
      </c>
      <c r="P110" s="154"/>
      <c r="Q110" s="154"/>
      <c r="R110" s="154"/>
      <c r="S110" s="167">
        <f>SUM(T110:V110)</f>
        <v>2.125</v>
      </c>
      <c r="T110" s="97">
        <v>2.125</v>
      </c>
      <c r="U110" s="97"/>
      <c r="V110" s="97"/>
      <c r="W110" s="154"/>
      <c r="X110" s="99" t="e">
        <f>(#REF!+#REF!)/(I110+M110)*100</f>
        <v>#REF!</v>
      </c>
      <c r="Y110" s="109">
        <f t="shared" si="109"/>
        <v>0</v>
      </c>
      <c r="Z110" s="97">
        <f t="shared" si="110"/>
        <v>0</v>
      </c>
      <c r="AA110" s="97">
        <f t="shared" si="110"/>
        <v>0</v>
      </c>
      <c r="AB110" s="97">
        <f t="shared" si="110"/>
        <v>0</v>
      </c>
      <c r="AC110" s="110"/>
      <c r="AD110" s="154"/>
      <c r="AE110" s="9"/>
    </row>
    <row r="111" spans="1:31">
      <c r="A111" s="88"/>
      <c r="B111" s="103"/>
      <c r="C111" s="114"/>
      <c r="D111" s="105"/>
      <c r="E111" s="105"/>
      <c r="F111" s="93" t="s">
        <v>125</v>
      </c>
      <c r="G111" s="93" t="s">
        <v>135</v>
      </c>
      <c r="H111" s="93" t="s">
        <v>23</v>
      </c>
      <c r="I111" s="166">
        <f>SUM(J111:L111)</f>
        <v>0</v>
      </c>
      <c r="J111" s="123"/>
      <c r="K111" s="154"/>
      <c r="L111" s="154"/>
      <c r="M111" s="154"/>
      <c r="N111" s="167">
        <f>SUM(O111:Q111)</f>
        <v>612.52099999999996</v>
      </c>
      <c r="O111" s="123">
        <f>2.25038+0.67962</f>
        <v>2.9299999999999997</v>
      </c>
      <c r="P111" s="154">
        <f>609.591</f>
        <v>609.59100000000001</v>
      </c>
      <c r="Q111" s="154"/>
      <c r="R111" s="154"/>
      <c r="S111" s="167">
        <f>SUM(T111:V111)</f>
        <v>612.52099999999996</v>
      </c>
      <c r="T111" s="123">
        <f>2.25038+0.67962</f>
        <v>2.9299999999999997</v>
      </c>
      <c r="U111" s="154">
        <f>609.591</f>
        <v>609.59100000000001</v>
      </c>
      <c r="V111" s="97"/>
      <c r="W111" s="154"/>
      <c r="X111" s="99" t="e">
        <f>(#REF!+#REF!)/(I111+M111)*100</f>
        <v>#REF!</v>
      </c>
      <c r="Y111" s="109">
        <f t="shared" si="109"/>
        <v>0</v>
      </c>
      <c r="Z111" s="97">
        <f t="shared" si="110"/>
        <v>0</v>
      </c>
      <c r="AA111" s="97">
        <f t="shared" si="110"/>
        <v>0</v>
      </c>
      <c r="AB111" s="97">
        <f t="shared" si="110"/>
        <v>0</v>
      </c>
      <c r="AC111" s="110"/>
      <c r="AD111" s="154"/>
      <c r="AE111" s="9"/>
    </row>
    <row r="112" spans="1:31">
      <c r="A112" s="88"/>
      <c r="B112" s="103"/>
      <c r="C112" s="114"/>
      <c r="D112" s="105"/>
      <c r="E112" s="105"/>
      <c r="F112" s="93" t="s">
        <v>125</v>
      </c>
      <c r="G112" s="93" t="s">
        <v>136</v>
      </c>
      <c r="H112" s="93" t="s">
        <v>23</v>
      </c>
      <c r="I112" s="166">
        <f>SUM(J112:L112)</f>
        <v>2163.643</v>
      </c>
      <c r="J112" s="123">
        <f>1634.442+30+493.601+5.6</f>
        <v>2163.643</v>
      </c>
      <c r="K112" s="154"/>
      <c r="L112" s="154"/>
      <c r="M112" s="154"/>
      <c r="N112" s="167">
        <f>SUM(O112:Q112)</f>
        <v>2167.643</v>
      </c>
      <c r="O112" s="123">
        <v>2167.643</v>
      </c>
      <c r="P112" s="154"/>
      <c r="Q112" s="154"/>
      <c r="R112" s="154"/>
      <c r="S112" s="167">
        <f>SUM(T112:V112)</f>
        <v>2167.643</v>
      </c>
      <c r="T112" s="97">
        <v>2167.643</v>
      </c>
      <c r="U112" s="97"/>
      <c r="V112" s="97"/>
      <c r="W112" s="154"/>
      <c r="X112" s="99" t="e">
        <f>(#REF!+#REF!)/(I112+M112)*100</f>
        <v>#REF!</v>
      </c>
      <c r="Y112" s="109">
        <f t="shared" si="109"/>
        <v>0</v>
      </c>
      <c r="Z112" s="97">
        <f t="shared" si="110"/>
        <v>0</v>
      </c>
      <c r="AA112" s="97">
        <f t="shared" si="110"/>
        <v>0</v>
      </c>
      <c r="AB112" s="97">
        <f t="shared" si="110"/>
        <v>0</v>
      </c>
      <c r="AC112" s="110"/>
      <c r="AD112" s="154"/>
      <c r="AE112" s="9"/>
    </row>
    <row r="113" spans="1:31" ht="25.5" customHeight="1">
      <c r="A113" s="169"/>
      <c r="B113" s="78" t="s">
        <v>28</v>
      </c>
      <c r="C113" s="102" t="s">
        <v>137</v>
      </c>
      <c r="D113" s="80" t="s">
        <v>30</v>
      </c>
      <c r="E113" s="80" t="s">
        <v>27</v>
      </c>
      <c r="F113" s="136" t="s">
        <v>125</v>
      </c>
      <c r="G113" s="136"/>
      <c r="H113" s="136"/>
      <c r="I113" s="131">
        <f>SUM(I114)</f>
        <v>0</v>
      </c>
      <c r="J113" s="132">
        <f>SUM(J114)</f>
        <v>0</v>
      </c>
      <c r="K113" s="132">
        <f t="shared" ref="K113:X115" si="117">SUM(K114)</f>
        <v>0</v>
      </c>
      <c r="L113" s="132">
        <f t="shared" si="117"/>
        <v>0</v>
      </c>
      <c r="M113" s="132">
        <f t="shared" si="117"/>
        <v>0</v>
      </c>
      <c r="N113" s="133">
        <f>SUM(N114)</f>
        <v>173.691</v>
      </c>
      <c r="O113" s="132">
        <f>SUM(O114)</f>
        <v>173.691</v>
      </c>
      <c r="P113" s="132">
        <f t="shared" ref="P113" si="118">SUM(P114)</f>
        <v>0</v>
      </c>
      <c r="Q113" s="132">
        <f>SUM(Q114)</f>
        <v>0</v>
      </c>
      <c r="R113" s="132">
        <f t="shared" si="117"/>
        <v>0</v>
      </c>
      <c r="S113" s="133">
        <f>SUM(S114)</f>
        <v>173.691</v>
      </c>
      <c r="T113" s="132">
        <f t="shared" ref="T113:V113" si="119">SUM(T114)</f>
        <v>173.691</v>
      </c>
      <c r="U113" s="132">
        <f t="shared" si="119"/>
        <v>0</v>
      </c>
      <c r="V113" s="132">
        <f t="shared" si="119"/>
        <v>0</v>
      </c>
      <c r="W113" s="132">
        <f t="shared" si="117"/>
        <v>0</v>
      </c>
      <c r="X113" s="132">
        <f t="shared" si="117"/>
        <v>0</v>
      </c>
      <c r="Y113" s="134">
        <f>SUM(Y114)</f>
        <v>0</v>
      </c>
      <c r="Z113" s="132">
        <f t="shared" ref="Z113:AB113" si="120">SUM(Z114)</f>
        <v>0</v>
      </c>
      <c r="AA113" s="132">
        <f t="shared" si="120"/>
        <v>0</v>
      </c>
      <c r="AB113" s="132">
        <f t="shared" si="120"/>
        <v>0</v>
      </c>
      <c r="AC113" s="135"/>
      <c r="AD113" s="132"/>
      <c r="AE113" s="9"/>
    </row>
    <row r="114" spans="1:31" ht="25.5" customHeight="1">
      <c r="A114" s="169"/>
      <c r="B114" s="89"/>
      <c r="C114" s="112"/>
      <c r="D114" s="91"/>
      <c r="E114" s="91"/>
      <c r="F114" s="93" t="s">
        <v>125</v>
      </c>
      <c r="G114" s="93" t="s">
        <v>138</v>
      </c>
      <c r="H114" s="93" t="s">
        <v>139</v>
      </c>
      <c r="I114" s="166">
        <f>SUM(J114:L114)</f>
        <v>0</v>
      </c>
      <c r="J114" s="123"/>
      <c r="K114" s="154"/>
      <c r="L114" s="154"/>
      <c r="M114" s="154"/>
      <c r="N114" s="167">
        <f>SUM(O114:Q114)</f>
        <v>173.691</v>
      </c>
      <c r="O114" s="123">
        <f>166.691+7</f>
        <v>173.691</v>
      </c>
      <c r="P114" s="154"/>
      <c r="Q114" s="154"/>
      <c r="R114" s="154"/>
      <c r="S114" s="167">
        <f>SUM(T114:V114)</f>
        <v>173.691</v>
      </c>
      <c r="T114" s="123">
        <f>166.691+7</f>
        <v>173.691</v>
      </c>
      <c r="U114" s="97"/>
      <c r="V114" s="97"/>
      <c r="W114" s="154"/>
      <c r="X114" s="99"/>
      <c r="Y114" s="109">
        <f t="shared" si="109"/>
        <v>0</v>
      </c>
      <c r="Z114" s="97">
        <f t="shared" ref="Z114:AB114" si="121">O114-T114</f>
        <v>0</v>
      </c>
      <c r="AA114" s="97">
        <f t="shared" si="121"/>
        <v>0</v>
      </c>
      <c r="AB114" s="97">
        <f t="shared" si="121"/>
        <v>0</v>
      </c>
      <c r="AC114" s="110"/>
      <c r="AD114" s="154"/>
      <c r="AE114" s="9"/>
    </row>
    <row r="115" spans="1:31">
      <c r="A115" s="169"/>
      <c r="B115" s="78" t="s">
        <v>42</v>
      </c>
      <c r="C115" s="80" t="s">
        <v>140</v>
      </c>
      <c r="D115" s="80" t="s">
        <v>30</v>
      </c>
      <c r="E115" s="80" t="s">
        <v>27</v>
      </c>
      <c r="F115" s="136" t="s">
        <v>125</v>
      </c>
      <c r="G115" s="136"/>
      <c r="H115" s="136"/>
      <c r="I115" s="131">
        <f>SUM(I116:I117)</f>
        <v>0</v>
      </c>
      <c r="J115" s="132">
        <f>SUM(J116:J117)</f>
        <v>0</v>
      </c>
      <c r="K115" s="132">
        <f t="shared" ref="K115:L115" si="122">SUM(K116:K117)</f>
        <v>0</v>
      </c>
      <c r="L115" s="132">
        <f t="shared" si="122"/>
        <v>0</v>
      </c>
      <c r="M115" s="132">
        <f t="shared" si="117"/>
        <v>0</v>
      </c>
      <c r="N115" s="133">
        <f>SUM(N116:N117)</f>
        <v>2479.83</v>
      </c>
      <c r="O115" s="132">
        <f>SUM(O116:O117)</f>
        <v>0</v>
      </c>
      <c r="P115" s="132">
        <f t="shared" ref="P115:Q115" si="123">SUM(P116:P117)</f>
        <v>24.83</v>
      </c>
      <c r="Q115" s="132">
        <f t="shared" si="123"/>
        <v>2455</v>
      </c>
      <c r="R115" s="132">
        <f t="shared" si="117"/>
        <v>0</v>
      </c>
      <c r="S115" s="133">
        <f>SUM(S116:S117)</f>
        <v>2479.83</v>
      </c>
      <c r="T115" s="132">
        <f>SUM(T116:T117)</f>
        <v>0</v>
      </c>
      <c r="U115" s="132">
        <f t="shared" ref="U115:V115" si="124">SUM(U116:U117)</f>
        <v>24.83</v>
      </c>
      <c r="V115" s="132">
        <f t="shared" si="124"/>
        <v>2455</v>
      </c>
      <c r="W115" s="132">
        <f t="shared" si="117"/>
        <v>0</v>
      </c>
      <c r="X115" s="132">
        <f t="shared" si="117"/>
        <v>0</v>
      </c>
      <c r="Y115" s="134">
        <f>SUM(Y116:Y117)</f>
        <v>0</v>
      </c>
      <c r="Z115" s="132">
        <f>SUM(Z116:Z117)</f>
        <v>0</v>
      </c>
      <c r="AA115" s="132">
        <f t="shared" ref="AA115:AB115" si="125">SUM(AA116:AA117)</f>
        <v>0</v>
      </c>
      <c r="AB115" s="132">
        <f t="shared" si="125"/>
        <v>0</v>
      </c>
      <c r="AC115" s="135"/>
      <c r="AD115" s="132"/>
      <c r="AE115" s="9"/>
    </row>
    <row r="116" spans="1:31">
      <c r="A116" s="169"/>
      <c r="B116" s="103"/>
      <c r="C116" s="105"/>
      <c r="D116" s="105"/>
      <c r="E116" s="105"/>
      <c r="F116" s="93" t="s">
        <v>141</v>
      </c>
      <c r="G116" s="93" t="s">
        <v>142</v>
      </c>
      <c r="H116" s="93" t="s">
        <v>143</v>
      </c>
      <c r="I116" s="166">
        <f>SUM(J116:L116)</f>
        <v>0</v>
      </c>
      <c r="J116" s="123"/>
      <c r="K116" s="154"/>
      <c r="L116" s="154"/>
      <c r="M116" s="154"/>
      <c r="N116" s="167">
        <f>SUM(O116:Q116)</f>
        <v>2479.83</v>
      </c>
      <c r="O116" s="123"/>
      <c r="P116" s="154">
        <v>24.83</v>
      </c>
      <c r="Q116" s="154">
        <v>2455</v>
      </c>
      <c r="R116" s="154"/>
      <c r="S116" s="167">
        <f>SUM(T116:V116)</f>
        <v>2479.83</v>
      </c>
      <c r="T116" s="97"/>
      <c r="U116" s="97">
        <v>24.83</v>
      </c>
      <c r="V116" s="97">
        <v>2455</v>
      </c>
      <c r="W116" s="154"/>
      <c r="X116" s="99"/>
      <c r="Y116" s="109">
        <f t="shared" ref="Y116:Y117" si="126">Z116+AA116+AB116</f>
        <v>0</v>
      </c>
      <c r="Z116" s="97">
        <f t="shared" ref="Z116:AB117" si="127">O116-T116</f>
        <v>0</v>
      </c>
      <c r="AA116" s="97">
        <f t="shared" si="127"/>
        <v>0</v>
      </c>
      <c r="AB116" s="97">
        <f t="shared" si="127"/>
        <v>0</v>
      </c>
      <c r="AC116" s="110"/>
      <c r="AD116" s="154"/>
      <c r="AE116" s="9"/>
    </row>
    <row r="117" spans="1:31">
      <c r="A117" s="169"/>
      <c r="B117" s="89"/>
      <c r="C117" s="91"/>
      <c r="D117" s="91"/>
      <c r="E117" s="91"/>
      <c r="F117" s="93" t="s">
        <v>125</v>
      </c>
      <c r="G117" s="93" t="s">
        <v>144</v>
      </c>
      <c r="H117" s="93" t="s">
        <v>145</v>
      </c>
      <c r="I117" s="166"/>
      <c r="J117" s="123"/>
      <c r="K117" s="154"/>
      <c r="L117" s="154"/>
      <c r="M117" s="154"/>
      <c r="N117" s="167">
        <f>SUM(O117:Q117)</f>
        <v>0</v>
      </c>
      <c r="O117" s="123"/>
      <c r="P117" s="154"/>
      <c r="Q117" s="154"/>
      <c r="R117" s="154"/>
      <c r="S117" s="167">
        <f>SUM(T117:V117)</f>
        <v>0</v>
      </c>
      <c r="T117" s="97"/>
      <c r="U117" s="97"/>
      <c r="V117" s="97"/>
      <c r="W117" s="154"/>
      <c r="X117" s="99"/>
      <c r="Y117" s="109">
        <f t="shared" si="126"/>
        <v>0</v>
      </c>
      <c r="Z117" s="97">
        <f t="shared" si="127"/>
        <v>0</v>
      </c>
      <c r="AA117" s="97">
        <f t="shared" si="127"/>
        <v>0</v>
      </c>
      <c r="AB117" s="97">
        <f t="shared" si="127"/>
        <v>0</v>
      </c>
      <c r="AC117" s="110"/>
      <c r="AD117" s="154"/>
      <c r="AE117" s="9"/>
    </row>
    <row r="118" spans="1:31">
      <c r="A118" s="63"/>
      <c r="B118" s="170"/>
      <c r="C118" s="171"/>
      <c r="D118" s="118"/>
      <c r="E118" s="119"/>
      <c r="F118" s="93"/>
      <c r="G118" s="93"/>
      <c r="H118" s="93"/>
      <c r="I118" s="166">
        <f>I9+I30+I72+I94+I101</f>
        <v>137368.71657999998</v>
      </c>
      <c r="J118" s="172">
        <f>J9+J30+J72+J94+J101</f>
        <v>26155.76958</v>
      </c>
      <c r="K118" s="172">
        <f>K9+K30+K72+K94+K101</f>
        <v>111212.94699999999</v>
      </c>
      <c r="L118" s="172">
        <f>L9+L30+L72+L94+L101</f>
        <v>0</v>
      </c>
      <c r="M118" s="172"/>
      <c r="N118" s="167">
        <f>N9+N30+N72+N94+N101</f>
        <v>214606.03164999999</v>
      </c>
      <c r="O118" s="172">
        <f>O9+O30+O72+O94+O101</f>
        <v>54519.697920000006</v>
      </c>
      <c r="P118" s="172">
        <f>P9+P30+P72+P94+P101</f>
        <v>132835.40473000001</v>
      </c>
      <c r="Q118" s="172">
        <f>Q9+Q30+Q72+Q94+Q101</f>
        <v>27250.929000000004</v>
      </c>
      <c r="R118" s="172"/>
      <c r="S118" s="167">
        <f>S9+S30+S72+S94+S101</f>
        <v>213621.19902</v>
      </c>
      <c r="T118" s="172">
        <f>T9+T30+T72+T94+T101</f>
        <v>53798.11522</v>
      </c>
      <c r="U118" s="172">
        <f>U9+U30+U72+U94+U101</f>
        <v>132671.26453000001</v>
      </c>
      <c r="V118" s="172">
        <f>V9+V30+V72+V94+V101</f>
        <v>27151.81927</v>
      </c>
      <c r="W118" s="172"/>
      <c r="X118" s="173" t="e">
        <f>(#REF!+#REF!)/(I108+M108)*100</f>
        <v>#REF!</v>
      </c>
      <c r="Y118" s="174">
        <f>Y9+Y30+Y72+Y94+Y101</f>
        <v>984.83263000000056</v>
      </c>
      <c r="Z118" s="172">
        <f>Z9+Z30+Z72+Z94+Z101</f>
        <v>721.58270000000039</v>
      </c>
      <c r="AA118" s="172">
        <f>AA9+AA30+AA72+AA94+AA101</f>
        <v>164.14020000000005</v>
      </c>
      <c r="AB118" s="172">
        <f>AB9+AB30+AB72+AB94+AB101</f>
        <v>99.109730000000127</v>
      </c>
      <c r="AC118" s="76" t="e">
        <f>#REF!/I118*100</f>
        <v>#REF!</v>
      </c>
      <c r="AD118" s="172"/>
      <c r="AE118" s="9"/>
    </row>
    <row r="119" spans="1:31">
      <c r="I119" s="175">
        <v>137368.71758</v>
      </c>
      <c r="J119" s="176"/>
      <c r="K119" s="176"/>
      <c r="L119" s="176"/>
      <c r="M119" s="177"/>
      <c r="N119" s="175">
        <v>214606.03164</v>
      </c>
      <c r="O119" s="176"/>
      <c r="P119" s="176"/>
      <c r="Q119" s="176"/>
      <c r="R119" s="176"/>
      <c r="S119" s="175">
        <v>213621.19915999999</v>
      </c>
      <c r="T119" s="176"/>
      <c r="U119" s="176"/>
      <c r="V119" s="176"/>
      <c r="W119" s="176"/>
      <c r="X119" s="178"/>
      <c r="Y119" s="179">
        <v>18481.650969999999</v>
      </c>
    </row>
    <row r="120" spans="1:31">
      <c r="I120" s="175"/>
      <c r="J120" s="176"/>
      <c r="K120" s="176"/>
      <c r="L120" s="176"/>
      <c r="M120" s="177"/>
      <c r="N120" s="11">
        <f>N119-N118</f>
        <v>-9.9999888334423304E-6</v>
      </c>
      <c r="O120" s="180"/>
      <c r="P120" s="180"/>
      <c r="Q120" s="180"/>
      <c r="R120" s="180"/>
      <c r="S120" s="11">
        <f>S118-S119</f>
        <v>-1.3999998918734491E-4</v>
      </c>
      <c r="T120" s="180"/>
      <c r="U120" s="180"/>
      <c r="V120" s="180"/>
      <c r="W120" s="180"/>
      <c r="X120" s="175"/>
      <c r="Y120" s="181">
        <f>Y119-Y118</f>
        <v>17496.818339999998</v>
      </c>
    </row>
    <row r="121" spans="1:31">
      <c r="I121" s="175"/>
      <c r="J121" s="176"/>
      <c r="K121" s="176"/>
      <c r="L121" s="176"/>
      <c r="M121" s="177"/>
      <c r="N121" s="11"/>
      <c r="O121" s="180"/>
      <c r="P121" s="180"/>
      <c r="Q121" s="180"/>
      <c r="R121" s="180"/>
      <c r="S121" s="11"/>
      <c r="T121" s="180"/>
      <c r="U121" s="180"/>
      <c r="V121" s="180"/>
      <c r="W121" s="180"/>
      <c r="X121" s="175"/>
      <c r="Y121" s="181"/>
    </row>
    <row r="122" spans="1:31">
      <c r="B122" s="182"/>
      <c r="D122" s="183" t="s">
        <v>146</v>
      </c>
      <c r="E122" s="183"/>
      <c r="F122" s="183"/>
      <c r="G122" s="183"/>
      <c r="H122" s="183"/>
      <c r="I122" s="184"/>
      <c r="N122" s="9"/>
      <c r="Y122" s="9"/>
    </row>
    <row r="123" spans="1:31">
      <c r="B123" s="182"/>
      <c r="D123" s="183" t="s">
        <v>147</v>
      </c>
      <c r="E123" s="183"/>
      <c r="F123" s="183"/>
      <c r="G123" s="183"/>
      <c r="H123" s="183"/>
      <c r="I123" s="184"/>
      <c r="J123" s="9"/>
      <c r="K123" s="9"/>
      <c r="L123" s="9" t="s">
        <v>148</v>
      </c>
      <c r="O123" s="9"/>
      <c r="P123" s="9"/>
      <c r="S123" s="185"/>
      <c r="T123" s="9"/>
      <c r="U123" s="9"/>
      <c r="X123" s="182"/>
      <c r="Y123" s="186"/>
    </row>
    <row r="124" spans="1:31">
      <c r="B124" s="182"/>
      <c r="D124" s="183"/>
      <c r="E124" s="183"/>
      <c r="F124" s="183"/>
      <c r="G124" s="183"/>
      <c r="H124" s="183"/>
      <c r="S124" s="182"/>
      <c r="T124" s="187"/>
      <c r="U124" s="188"/>
      <c r="V124" s="182"/>
      <c r="X124" s="182"/>
      <c r="Y124" s="182"/>
    </row>
    <row r="125" spans="1:31">
      <c r="B125" s="182"/>
      <c r="D125" s="183" t="s">
        <v>149</v>
      </c>
      <c r="E125" s="183"/>
      <c r="F125" s="183"/>
      <c r="G125" s="183"/>
      <c r="H125" s="183"/>
      <c r="L125" s="1" t="s">
        <v>150</v>
      </c>
      <c r="S125" s="186"/>
      <c r="T125" s="187"/>
      <c r="U125" s="188"/>
      <c r="V125" s="182"/>
    </row>
    <row r="126" spans="1:31">
      <c r="D126" s="183"/>
      <c r="E126" s="183"/>
      <c r="F126" s="183"/>
      <c r="G126" s="183"/>
      <c r="H126" s="183"/>
      <c r="I126" s="184"/>
      <c r="J126" s="9"/>
      <c r="N126" s="184"/>
      <c r="O126" s="9"/>
      <c r="S126" s="182"/>
      <c r="T126" s="187"/>
      <c r="U126" s="188"/>
      <c r="V126" s="182"/>
    </row>
    <row r="127" spans="1:31">
      <c r="B127" s="180" t="s">
        <v>151</v>
      </c>
      <c r="C127" s="180"/>
      <c r="I127" s="184"/>
      <c r="J127" s="9"/>
      <c r="N127" s="184"/>
      <c r="O127" s="9"/>
      <c r="S127" s="182"/>
      <c r="T127" s="188"/>
      <c r="U127" s="187"/>
      <c r="V127" s="182"/>
    </row>
    <row r="128" spans="1:31">
      <c r="B128" s="189" t="s">
        <v>152</v>
      </c>
      <c r="C128" s="189"/>
      <c r="I128" s="9"/>
      <c r="J128" s="9"/>
      <c r="N128" s="9"/>
      <c r="O128" s="9"/>
      <c r="S128" s="182"/>
      <c r="T128" s="188"/>
      <c r="U128" s="187"/>
      <c r="V128" s="182"/>
    </row>
  </sheetData>
  <mergeCells count="89">
    <mergeCell ref="B128:C128"/>
    <mergeCell ref="B113:B114"/>
    <mergeCell ref="C113:C114"/>
    <mergeCell ref="D113:D114"/>
    <mergeCell ref="E113:E114"/>
    <mergeCell ref="B115:B117"/>
    <mergeCell ref="C115:C117"/>
    <mergeCell ref="D115:D117"/>
    <mergeCell ref="E115:E117"/>
    <mergeCell ref="A95:A100"/>
    <mergeCell ref="B95:B100"/>
    <mergeCell ref="C95:C100"/>
    <mergeCell ref="D95:D100"/>
    <mergeCell ref="E95:E100"/>
    <mergeCell ref="A102:A112"/>
    <mergeCell ref="B102:B112"/>
    <mergeCell ref="C102:C112"/>
    <mergeCell ref="D102:D112"/>
    <mergeCell ref="E102:E112"/>
    <mergeCell ref="C87:C90"/>
    <mergeCell ref="D87:D90"/>
    <mergeCell ref="E87:E90"/>
    <mergeCell ref="C91:C93"/>
    <mergeCell ref="D91:D93"/>
    <mergeCell ref="E91:E93"/>
    <mergeCell ref="A73:A93"/>
    <mergeCell ref="B73:B81"/>
    <mergeCell ref="C73:C81"/>
    <mergeCell ref="D73:D81"/>
    <mergeCell ref="E73:E81"/>
    <mergeCell ref="B82:B86"/>
    <mergeCell ref="C82:C86"/>
    <mergeCell ref="D82:D86"/>
    <mergeCell ref="E82:E86"/>
    <mergeCell ref="B87:B90"/>
    <mergeCell ref="D68:D69"/>
    <mergeCell ref="E68:E69"/>
    <mergeCell ref="B70:B71"/>
    <mergeCell ref="C70:C71"/>
    <mergeCell ref="D70:D71"/>
    <mergeCell ref="E70:E71"/>
    <mergeCell ref="D52:D54"/>
    <mergeCell ref="E52:E54"/>
    <mergeCell ref="B55:B67"/>
    <mergeCell ref="C55:C67"/>
    <mergeCell ref="D55:D67"/>
    <mergeCell ref="E55:E67"/>
    <mergeCell ref="D31:D32"/>
    <mergeCell ref="E31:E32"/>
    <mergeCell ref="B33:B51"/>
    <mergeCell ref="C33:C51"/>
    <mergeCell ref="D33:D51"/>
    <mergeCell ref="E33:E51"/>
    <mergeCell ref="C24:C27"/>
    <mergeCell ref="B28:B29"/>
    <mergeCell ref="C28:C29"/>
    <mergeCell ref="A31:A71"/>
    <mergeCell ref="B31:B32"/>
    <mergeCell ref="C31:C32"/>
    <mergeCell ref="B52:B54"/>
    <mergeCell ref="C52:C54"/>
    <mergeCell ref="B68:B69"/>
    <mergeCell ref="C68:C69"/>
    <mergeCell ref="A10:A29"/>
    <mergeCell ref="B10:B11"/>
    <mergeCell ref="C10:C11"/>
    <mergeCell ref="D10:D11"/>
    <mergeCell ref="E10:E11"/>
    <mergeCell ref="B12:B23"/>
    <mergeCell ref="C12:C23"/>
    <mergeCell ref="D12:D23"/>
    <mergeCell ref="E12:E23"/>
    <mergeCell ref="B24:B27"/>
    <mergeCell ref="R6:R7"/>
    <mergeCell ref="S6:V6"/>
    <mergeCell ref="W6:W7"/>
    <mergeCell ref="X6:X7"/>
    <mergeCell ref="Y6:AB6"/>
    <mergeCell ref="AD6:AD7"/>
    <mergeCell ref="A2:X2"/>
    <mergeCell ref="A3:X3"/>
    <mergeCell ref="D5:D7"/>
    <mergeCell ref="E5:E7"/>
    <mergeCell ref="F5:H6"/>
    <mergeCell ref="I5:M5"/>
    <mergeCell ref="C6:C7"/>
    <mergeCell ref="I6:L6"/>
    <mergeCell ref="M6:M7"/>
    <mergeCell ref="N6:Q6"/>
  </mergeCells>
  <pageMargins left="0.19685039370078741" right="0.15748031496062992" top="0.74803149606299213" bottom="0.23622047244094491" header="0.27559055118110237" footer="0.23622047244094491"/>
  <pageSetup paperSize="9" scale="59" orientation="landscape" r:id="rId1"/>
  <rowBreaks count="1" manualBreakCount="1">
    <brk id="59" max="28" man="1"/>
  </rowBreaks>
  <colBreaks count="1" manualBreakCount="1">
    <brk id="30" min="1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Изм прогр.31.12.19</vt:lpstr>
      <vt:lpstr>'Изм прогр.31.12.19'!Область_печати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2020-03-24T03:13:32Z</dcterms:created>
  <dcterms:modified xsi:type="dcterms:W3CDTF">2020-03-24T03:14:00Z</dcterms:modified>
</cp:coreProperties>
</file>